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Win11\Desktop\maja\BCP proektna dokumentacija\Kjafasan\faza 1\Annex 1-Lot 2-Kjafasan\2.1\2.1 Nadgradba i dogradba na objekt za carinskite administrativni sluzbi\"/>
    </mc:Choice>
  </mc:AlternateContent>
  <xr:revisionPtr revIDLastSave="0" documentId="13_ncr:1_{07060ECA-F3BD-43A2-BC0B-107240B621D4}" xr6:coauthVersionLast="47" xr6:coauthVersionMax="47" xr10:uidLastSave="{00000000-0000-0000-0000-000000000000}"/>
  <bookViews>
    <workbookView xWindow="-120" yWindow="-120" windowWidth="29040" windowHeight="15720" activeTab="5" xr2:uid="{00000000-000D-0000-FFFF-FFFF00000000}"/>
  </bookViews>
  <sheets>
    <sheet name="rekapitular" sheetId="6" r:id="rId1"/>
    <sheet name="А-шпедиции" sheetId="1" r:id="rId2"/>
    <sheet name="Т-шпедиции" sheetId="2" r:id="rId3"/>
    <sheet name="Е-шпедиции" sheetId="7" r:id="rId4"/>
    <sheet name="ВК-надворешни инст-шпедиции" sheetId="10" r:id="rId5"/>
    <sheet name="ВК-внатрешни инст-шпедиции" sheetId="11" r:id="rId6"/>
  </sheets>
  <definedNames>
    <definedName name="Excel_BuiltIn_Print_Area_1">#REF!</definedName>
    <definedName name="Excel_BuiltIn_Print_Area_2">#REF!</definedName>
    <definedName name="Excel_BuiltIn_Print_Area_2_1">#REF!</definedName>
    <definedName name="Excel_BuiltIn_Print_Area_3">#REF!</definedName>
    <definedName name="Excel_BuiltIn_Print_Area_6">#REF!</definedName>
    <definedName name="Excel_BuiltIn_Print_Area_7">#REF!</definedName>
    <definedName name="Excel_BuiltIn_Print_Titles_1">#REF!</definedName>
    <definedName name="_xlnm.Print_Area" localSheetId="1">'А-шпедиции'!$A$1:$F$366</definedName>
    <definedName name="_xlnm.Print_Area" localSheetId="5">'ВК-внатрешни инст-шпедиции'!$A$1:$F$41</definedName>
    <definedName name="_xlnm.Print_Area" localSheetId="4">'ВК-надворешни инст-шпедиции'!$A$1:$F$87</definedName>
    <definedName name="_xlnm.Print_Area" localSheetId="3">'Е-шпедиции'!$A$1:$G$171</definedName>
    <definedName name="_xlnm.Print_Area" localSheetId="2">'Т-шпедиции'!$A$1:$F$26</definedName>
    <definedName name="_xlnm.Print_Titles" localSheetId="4">'ВК-надворешни инст-шпедиции'!$5:$5</definedName>
    <definedName name="_xlnm.Print_Titles" localSheetId="3">'Е-шпедиции'!$5:$5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6" l="1"/>
  <c r="F25" i="2"/>
  <c r="F61" i="1"/>
  <c r="F59" i="1"/>
  <c r="F318" i="1" l="1"/>
  <c r="F317" i="1"/>
  <c r="F315" i="1"/>
  <c r="F314" i="1"/>
  <c r="F342" i="1"/>
  <c r="F44" i="1" l="1"/>
  <c r="D46" i="1"/>
  <c r="F46" i="1" s="1"/>
  <c r="F49" i="1"/>
  <c r="F52" i="1"/>
  <c r="F54" i="1"/>
  <c r="F57" i="1"/>
  <c r="F65" i="1" l="1"/>
  <c r="F20" i="11" l="1"/>
  <c r="D207" i="1" l="1"/>
  <c r="F24" i="2" l="1"/>
  <c r="F22" i="2"/>
  <c r="F21" i="2"/>
  <c r="F20" i="2"/>
  <c r="F19" i="2"/>
  <c r="F18" i="2"/>
  <c r="F16" i="2"/>
  <c r="F15" i="2"/>
  <c r="F13" i="2"/>
  <c r="F12" i="2"/>
  <c r="F350" i="1"/>
  <c r="F26" i="2" l="1"/>
  <c r="D329" i="1"/>
  <c r="F31" i="11" l="1"/>
  <c r="D29" i="11"/>
  <c r="F29" i="11" s="1"/>
  <c r="F32" i="11" s="1"/>
  <c r="F40" i="11" s="1"/>
  <c r="F17" i="11"/>
  <c r="F15" i="11"/>
  <c r="D13" i="11"/>
  <c r="F13" i="11" s="1"/>
  <c r="D12" i="11"/>
  <c r="D76" i="10"/>
  <c r="F76" i="10" s="1"/>
  <c r="F75" i="10"/>
  <c r="F74" i="10"/>
  <c r="F73" i="10"/>
  <c r="F71" i="10"/>
  <c r="F70" i="10"/>
  <c r="F68" i="10"/>
  <c r="D67" i="10"/>
  <c r="F67" i="10" s="1"/>
  <c r="D65" i="10"/>
  <c r="F65" i="10" s="1"/>
  <c r="F64" i="10"/>
  <c r="F62" i="10"/>
  <c r="D61" i="10"/>
  <c r="F61" i="10" s="1"/>
  <c r="D59" i="10"/>
  <c r="F59" i="10" s="1"/>
  <c r="D56" i="10"/>
  <c r="F56" i="10" s="1"/>
  <c r="D54" i="10"/>
  <c r="F54" i="10" s="1"/>
  <c r="F51" i="10"/>
  <c r="D48" i="10"/>
  <c r="F48" i="10" s="1"/>
  <c r="D46" i="10"/>
  <c r="F46" i="10" s="1"/>
  <c r="D44" i="10"/>
  <c r="F44" i="10" s="1"/>
  <c r="D43" i="10"/>
  <c r="D39" i="10"/>
  <c r="D58" i="10" s="1"/>
  <c r="F58" i="10" s="1"/>
  <c r="F38" i="10"/>
  <c r="F32" i="10"/>
  <c r="F31" i="10"/>
  <c r="F30" i="10"/>
  <c r="F29" i="10"/>
  <c r="F28" i="10"/>
  <c r="F27" i="10"/>
  <c r="D25" i="10"/>
  <c r="F25" i="10" s="1"/>
  <c r="D21" i="10"/>
  <c r="F21" i="10" s="1"/>
  <c r="D19" i="10"/>
  <c r="D22" i="10" s="1"/>
  <c r="F22" i="10" s="1"/>
  <c r="D17" i="10"/>
  <c r="F17" i="10" s="1"/>
  <c r="D15" i="10"/>
  <c r="F15" i="10" s="1"/>
  <c r="D13" i="10"/>
  <c r="F13" i="10" s="1"/>
  <c r="F12" i="10"/>
  <c r="D57" i="10" l="1"/>
  <c r="F57" i="10" s="1"/>
  <c r="D23" i="10"/>
  <c r="F23" i="10" s="1"/>
  <c r="F19" i="10"/>
  <c r="F39" i="10"/>
  <c r="F33" i="10"/>
  <c r="F83" i="10" s="1"/>
  <c r="F12" i="11"/>
  <c r="D19" i="11"/>
  <c r="F19" i="11" s="1"/>
  <c r="D18" i="11"/>
  <c r="F43" i="10"/>
  <c r="F77" i="10" l="1"/>
  <c r="F84" i="10" s="1"/>
  <c r="H18" i="11"/>
  <c r="F18" i="11"/>
  <c r="F23" i="11" s="1"/>
  <c r="I23" i="11" s="1"/>
  <c r="F87" i="10"/>
  <c r="B168" i="7"/>
  <c r="C167" i="7"/>
  <c r="B167" i="7"/>
  <c r="C166" i="7"/>
  <c r="C165" i="7"/>
  <c r="C164" i="7"/>
  <c r="B164" i="7"/>
  <c r="C163" i="7"/>
  <c r="C162" i="7"/>
  <c r="C161" i="7"/>
  <c r="C160" i="7"/>
  <c r="G153" i="7"/>
  <c r="G152" i="7"/>
  <c r="G151" i="7"/>
  <c r="G150" i="7"/>
  <c r="G149" i="7"/>
  <c r="G148" i="7"/>
  <c r="G147" i="7"/>
  <c r="G140" i="7"/>
  <c r="G138" i="7"/>
  <c r="G137" i="7"/>
  <c r="G136" i="7"/>
  <c r="G135" i="7"/>
  <c r="E133" i="7"/>
  <c r="G133" i="7" s="1"/>
  <c r="G131" i="7"/>
  <c r="G130" i="7"/>
  <c r="G129" i="7"/>
  <c r="G128" i="7"/>
  <c r="G127" i="7"/>
  <c r="G142" i="7" s="1"/>
  <c r="G120" i="7"/>
  <c r="G119" i="7"/>
  <c r="G118" i="7"/>
  <c r="G117" i="7"/>
  <c r="G111" i="7"/>
  <c r="G110" i="7"/>
  <c r="E108" i="7"/>
  <c r="E109" i="7" s="1"/>
  <c r="E116" i="7" s="1"/>
  <c r="G116" i="7" s="1"/>
  <c r="G107" i="7"/>
  <c r="G106" i="7"/>
  <c r="E98" i="7"/>
  <c r="G98" i="7" s="1"/>
  <c r="G97" i="7"/>
  <c r="G96" i="7"/>
  <c r="G86" i="7"/>
  <c r="G85" i="7"/>
  <c r="G84" i="7"/>
  <c r="G83" i="7"/>
  <c r="G82" i="7"/>
  <c r="G77" i="7"/>
  <c r="G163" i="7" s="1"/>
  <c r="G70" i="7"/>
  <c r="G69" i="7"/>
  <c r="G68" i="7"/>
  <c r="G67" i="7"/>
  <c r="G66" i="7"/>
  <c r="E62" i="7"/>
  <c r="G62" i="7" s="1"/>
  <c r="G55" i="7"/>
  <c r="G53" i="7"/>
  <c r="G50" i="7"/>
  <c r="G49" i="7"/>
  <c r="G48" i="7"/>
  <c r="E47" i="7"/>
  <c r="E51" i="7" s="1"/>
  <c r="G39" i="7"/>
  <c r="G38" i="7"/>
  <c r="G37" i="7"/>
  <c r="G36" i="7"/>
  <c r="G35" i="7"/>
  <c r="G34" i="7"/>
  <c r="E33" i="7"/>
  <c r="G33" i="7" s="1"/>
  <c r="G32" i="7"/>
  <c r="G25" i="7"/>
  <c r="G18" i="7"/>
  <c r="F39" i="11" l="1"/>
  <c r="F41" i="11" s="1"/>
  <c r="G41" i="7"/>
  <c r="G160" i="7" s="1"/>
  <c r="G88" i="7"/>
  <c r="G164" i="7" s="1"/>
  <c r="D11" i="6"/>
  <c r="G167" i="7"/>
  <c r="G108" i="7"/>
  <c r="G122" i="7" s="1"/>
  <c r="E64" i="7"/>
  <c r="G64" i="7" s="1"/>
  <c r="G155" i="7"/>
  <c r="G168" i="7" s="1"/>
  <c r="E52" i="7"/>
  <c r="G52" i="7" s="1"/>
  <c r="G51" i="7"/>
  <c r="G47" i="7"/>
  <c r="E99" i="7"/>
  <c r="G99" i="7" s="1"/>
  <c r="G101" i="7" s="1"/>
  <c r="G165" i="7" s="1"/>
  <c r="G109" i="7"/>
  <c r="G166" i="7" l="1"/>
  <c r="G57" i="7"/>
  <c r="G161" i="7" s="1"/>
  <c r="D12" i="6"/>
  <c r="G72" i="7"/>
  <c r="G162" i="7" s="1"/>
  <c r="G170" i="7" l="1"/>
  <c r="G171" i="7"/>
  <c r="D10" i="6"/>
  <c r="F341" i="1"/>
  <c r="D340" i="1"/>
  <c r="F340" i="1" s="1"/>
  <c r="D339" i="1"/>
  <c r="F339" i="1" s="1"/>
  <c r="F338" i="1"/>
  <c r="D336" i="1"/>
  <c r="D321" i="1"/>
  <c r="F310" i="1"/>
  <c r="F309" i="1"/>
  <c r="D306" i="1"/>
  <c r="D295" i="1"/>
  <c r="D294" i="1"/>
  <c r="D291" i="1"/>
  <c r="F291" i="1" s="1"/>
  <c r="F290" i="1"/>
  <c r="D289" i="1"/>
  <c r="F289" i="1" s="1"/>
  <c r="F288" i="1"/>
  <c r="D281" i="1"/>
  <c r="D275" i="1"/>
  <c r="D274" i="1"/>
  <c r="F268" i="1"/>
  <c r="F259" i="1"/>
  <c r="D256" i="1"/>
  <c r="F256" i="1" s="1"/>
  <c r="F253" i="1"/>
  <c r="F246" i="1"/>
  <c r="F261" i="1" l="1"/>
  <c r="F360" i="1" s="1"/>
  <c r="D287" i="1"/>
  <c r="F287" i="1" s="1"/>
  <c r="F231" i="1" l="1"/>
  <c r="F230" i="1"/>
  <c r="F229" i="1"/>
  <c r="F228" i="1"/>
  <c r="F227" i="1"/>
  <c r="F226" i="1"/>
  <c r="F225" i="1"/>
  <c r="F222" i="1"/>
  <c r="D208" i="1"/>
  <c r="D206" i="1"/>
  <c r="D189" i="1"/>
  <c r="F189" i="1" s="1"/>
  <c r="D123" i="1"/>
  <c r="F123" i="1" s="1"/>
  <c r="D122" i="1"/>
  <c r="F122" i="1" s="1"/>
  <c r="D132" i="1"/>
  <c r="D130" i="1"/>
  <c r="D127" i="1"/>
  <c r="F127" i="1" s="1"/>
  <c r="D126" i="1"/>
  <c r="F126" i="1" s="1"/>
  <c r="D119" i="1"/>
  <c r="F119" i="1" s="1"/>
  <c r="D118" i="1"/>
  <c r="F118" i="1" s="1"/>
  <c r="D115" i="1"/>
  <c r="D114" i="1"/>
  <c r="D91" i="1"/>
  <c r="F91" i="1" s="1"/>
  <c r="D88" i="1"/>
  <c r="D86" i="1"/>
  <c r="F86" i="1" s="1"/>
  <c r="D85" i="1"/>
  <c r="F85" i="1" s="1"/>
  <c r="D84" i="1"/>
  <c r="D83" i="1"/>
  <c r="D82" i="1"/>
  <c r="D81" i="1"/>
  <c r="D76" i="1"/>
  <c r="F76" i="1" s="1"/>
  <c r="D75" i="1"/>
  <c r="F75" i="1" s="1"/>
  <c r="D9" i="6" l="1"/>
  <c r="D14" i="6" s="1"/>
  <c r="A362" i="1" l="1"/>
  <c r="F295" i="1" l="1"/>
  <c r="F294" i="1"/>
  <c r="F275" i="1"/>
  <c r="F271" i="1"/>
  <c r="F84" i="1" l="1"/>
  <c r="F321" i="1"/>
  <c r="F83" i="1"/>
  <c r="D178" i="1"/>
  <c r="F178" i="1" s="1"/>
  <c r="D172" i="1"/>
  <c r="F172" i="1" s="1"/>
  <c r="D170" i="1"/>
  <c r="F170" i="1" s="1"/>
  <c r="D169" i="1"/>
  <c r="F169" i="1" s="1"/>
  <c r="D164" i="1"/>
  <c r="D166" i="1"/>
  <c r="F166" i="1" s="1"/>
  <c r="F176" i="1"/>
  <c r="F175" i="1"/>
  <c r="D188" i="1"/>
  <c r="F157" i="1"/>
  <c r="F156" i="1"/>
  <c r="F142" i="1"/>
  <c r="F130" i="1" l="1"/>
  <c r="B364" i="1" l="1"/>
  <c r="B363" i="1"/>
  <c r="B362" i="1"/>
  <c r="B361" i="1"/>
  <c r="B360" i="1"/>
  <c r="B359" i="1"/>
  <c r="B358" i="1"/>
  <c r="B357" i="1"/>
  <c r="B356" i="1"/>
  <c r="B355" i="1"/>
  <c r="B354" i="1"/>
  <c r="B353" i="1"/>
  <c r="B352" i="1"/>
  <c r="B351" i="1"/>
  <c r="B350" i="1"/>
  <c r="A363" i="1"/>
  <c r="A361" i="1"/>
  <c r="A360" i="1"/>
  <c r="A358" i="1"/>
  <c r="A355" i="1"/>
  <c r="A354" i="1"/>
  <c r="A353" i="1"/>
  <c r="A352" i="1"/>
  <c r="A351" i="1"/>
  <c r="F330" i="1"/>
  <c r="D267" i="1"/>
  <c r="D278" i="1" s="1"/>
  <c r="F278" i="1" s="1"/>
  <c r="F281" i="1"/>
  <c r="F284" i="1"/>
  <c r="F274" i="1"/>
  <c r="F267" i="1" l="1"/>
  <c r="F298" i="1" s="1"/>
  <c r="F361" i="1" l="1"/>
  <c r="F234" i="1"/>
  <c r="F209" i="1"/>
  <c r="F219" i="1"/>
  <c r="F207" i="1"/>
  <c r="F188" i="1"/>
  <c r="D197" i="1"/>
  <c r="D196" i="1"/>
  <c r="D187" i="1" l="1"/>
  <c r="F136" i="1" l="1"/>
  <c r="F82" i="1"/>
  <c r="F81" i="1"/>
  <c r="F88" i="1"/>
  <c r="F337" i="1" l="1"/>
  <c r="F208" i="1" l="1"/>
  <c r="F206" i="1" l="1"/>
  <c r="F211" i="1" s="1"/>
  <c r="F358" i="1" s="1"/>
  <c r="F329" i="1"/>
  <c r="F306" i="1"/>
  <c r="F304" i="1"/>
  <c r="F324" i="1" s="1"/>
  <c r="F164" i="1"/>
  <c r="F181" i="1" s="1"/>
  <c r="F355" i="1" s="1"/>
  <c r="F154" i="1"/>
  <c r="F160" i="1" s="1"/>
  <c r="F354" i="1" s="1"/>
  <c r="F145" i="1"/>
  <c r="F147" i="1" s="1"/>
  <c r="F353" i="1" s="1"/>
  <c r="F135" i="1"/>
  <c r="F132" i="1"/>
  <c r="F115" i="1"/>
  <c r="F114" i="1"/>
  <c r="F78" i="1"/>
  <c r="F94" i="1" s="1"/>
  <c r="F351" i="1" s="1"/>
  <c r="F332" i="1" l="1"/>
  <c r="F363" i="1" s="1"/>
  <c r="F362" i="1"/>
  <c r="F138" i="1"/>
  <c r="F352" i="1" s="1"/>
  <c r="A364" i="1" l="1"/>
  <c r="A359" i="1"/>
  <c r="A357" i="1"/>
  <c r="A356" i="1"/>
  <c r="A350" i="1"/>
  <c r="F336" i="1"/>
  <c r="F345" i="1" s="1"/>
  <c r="F218" i="1"/>
  <c r="F187" i="1"/>
  <c r="F191" i="1" s="1"/>
  <c r="F197" i="1"/>
  <c r="F236" i="1" l="1"/>
  <c r="F359" i="1" s="1"/>
  <c r="F196" i="1"/>
  <c r="F356" i="1"/>
  <c r="F195" i="1"/>
  <c r="F199" i="1" s="1"/>
  <c r="F357" i="1" s="1"/>
  <c r="F364" i="1"/>
  <c r="F366" i="1" l="1"/>
</calcChain>
</file>

<file path=xl/sharedStrings.xml><?xml version="1.0" encoding="utf-8"?>
<sst xmlns="http://schemas.openxmlformats.org/spreadsheetml/2006/main" count="998" uniqueCount="675">
  <si>
    <t>Предмер пресметка</t>
  </si>
  <si>
    <t>ГРАДЕЖНО ЗАНАЕТЧИСКИ РАБОТИ</t>
  </si>
  <si>
    <t>ПРИПРЕМНИ РАБОТИ</t>
  </si>
  <si>
    <t>БРАВАРСКИ/СТОЛАРСКИ РАБОТИ</t>
  </si>
  <si>
    <t>ЛИМАРСКИ РАБОТИ</t>
  </si>
  <si>
    <t>1.1</t>
  </si>
  <si>
    <t>m²</t>
  </si>
  <si>
    <t>1.2</t>
  </si>
  <si>
    <t>1.3</t>
  </si>
  <si>
    <t>1.4</t>
  </si>
  <si>
    <t>ВКУПНО ПРИПРЕМНИ РАБОТИ</t>
  </si>
  <si>
    <t>3.1</t>
  </si>
  <si>
    <t>6.1</t>
  </si>
  <si>
    <t>Надворешни врати и прозори</t>
  </si>
  <si>
    <t>ВКУПНО БРАВАРСКИ РАБОТИ</t>
  </si>
  <si>
    <t>m</t>
  </si>
  <si>
    <t>РАЗНИ РАБОТИ</t>
  </si>
  <si>
    <t>ВКУПНО РАЗНИ РАБОТИ</t>
  </si>
  <si>
    <t>РЕКАПИТУЛАР</t>
  </si>
  <si>
    <t>ВКУПНО</t>
  </si>
  <si>
    <t>2.1</t>
  </si>
  <si>
    <t>2.2</t>
  </si>
  <si>
    <t>2.3</t>
  </si>
  <si>
    <t>3.2</t>
  </si>
  <si>
    <t>3.3</t>
  </si>
  <si>
    <t>ФАСАДЕРСКИ РАБОТИ</t>
  </si>
  <si>
    <t>ВКУПНО ФАСАДЕРСКИ РАБОТИ</t>
  </si>
  <si>
    <t>ВКУПНО ЛИМАРСКИ РАБОТИ</t>
  </si>
  <si>
    <t>1</t>
  </si>
  <si>
    <t>2</t>
  </si>
  <si>
    <t>Сите позиции опфаќаат утовар во камион и транспорт до депонија посочена од Надзорот, освен ако во позицијата не е поинаку назначено.</t>
  </si>
  <si>
    <t>ВКУПНО ПОКРИВАЧКИ РАБОТИ</t>
  </si>
  <si>
    <t>пар.</t>
  </si>
  <si>
    <t>комплет</t>
  </si>
  <si>
    <r>
      <t>m</t>
    </r>
    <r>
      <rPr>
        <sz val="10"/>
        <rFont val="Arial"/>
        <family val="2"/>
      </rPr>
      <t>³</t>
    </r>
  </si>
  <si>
    <t>Сите позиции вклучуваат набавка и транспорт на материјалот, монтажа и демонтажа на потребно скеле за изведба на работите.</t>
  </si>
  <si>
    <t>4</t>
  </si>
  <si>
    <t>3</t>
  </si>
  <si>
    <t>5</t>
  </si>
  <si>
    <t>5.1</t>
  </si>
  <si>
    <t>6</t>
  </si>
  <si>
    <t>Проект: Преглед на постоечка состојба на граничните премини Деве Баир и Ќафасан и изработка на техничка документација–проекти за реконструкција и/или надградба на објектите и инфраструктурата</t>
  </si>
  <si>
    <t>Рушење на бетонски скали за пристап пд плато до кровна тераса на постоечки објект, комплет со темелна конструкција.</t>
  </si>
  <si>
    <t>ширина на крак 300cm, должина 150cm
скалници: 6 висини x 15cm, 5 ширини x 30cm</t>
  </si>
  <si>
    <t>доградба на објект за шпедиции</t>
  </si>
  <si>
    <t>ед. мера</t>
  </si>
  <si>
    <t>количина</t>
  </si>
  <si>
    <t>ед. цена</t>
  </si>
  <si>
    <t>вк. цена</t>
  </si>
  <si>
    <t>ЗЕМЈЕНИ РАБОТИ</t>
  </si>
  <si>
    <t>Позициите на ископ вклучуваат нивелирање и набивање на земјениот материјал</t>
  </si>
  <si>
    <t>Доколку е потребно ќе се изврши дополнително раскопување поради сушење или дополнително влажнење на горниот слој на материјалот пред да се изврши набивање.</t>
  </si>
  <si>
    <t>Насипувањето да се изведува со набивање во слоеви од 20-30cm. Тампонскиот материјал за насип да е со гранулација 0-63мм.</t>
  </si>
  <si>
    <t>Сите земјени работи се изведуваат во согласност со Елаборатот за геотехнички испитувања.</t>
  </si>
  <si>
    <t xml:space="preserve">Се задолжува Изведувачот при ископ на градежната јама да се консултира со инженер геолог или геомеханичар, и доколку се дојде до поинакво сознание за составот и карактеристиките на почвата од предвидените во градежно-конструктивниот проект, да се преземат мерки за подобрување.
 За било какви измени кои не со во согласност со овој проект и кои би го нарушиле статичкиот третман на конструктивниот систем, потребна е писмена согласност од авторот Проектант-конструктор.
</t>
  </si>
  <si>
    <t>ВКУПНО ЗЕМЈЕНИ РАБОТИ</t>
  </si>
  <si>
    <t>БЕТОНСКИ И АРМИРАНО - БЕТОНСКИ РАБОТИ</t>
  </si>
  <si>
    <t>Изведувачот е должен да обезбеди примероци, пробни коцки, за лабораториско испитување во согласност со важечките прописи и нормативи.</t>
  </si>
  <si>
    <t>Пред бетонирање да се провери бетонот, стабилноста и цврстината на оплатата и подупирањето.</t>
  </si>
  <si>
    <t>Бетонирање при екстремни услови условува преземање на соодветни мерки согласно со важечки прописи.</t>
  </si>
  <si>
    <t>Сите видливи бетонски елементи се во натур бетон изведба, со употреба на нова мазна оплата. Сите дефекти (течења) на бетонот веднаш да се отстранат по вадење на оплатата. На сите агли (хоризонтални и вертикални) да се постават аголни лајсни пред бетонирање.</t>
  </si>
  <si>
    <t>Оплатата да се премачка со оплатно масло пред употреба.</t>
  </si>
  <si>
    <t>Сите врски помеѓу бетони претходно да се исчистат, обезпрашат и обезмастат, и да се премачкаат со врска за стар со нов бетон.</t>
  </si>
  <si>
    <t xml:space="preserve">По отстранувањето на оплатата бетонот мора да биде потполно рамен и со остри рабови. </t>
  </si>
  <si>
    <t>Чинењето на горенаведените работи треба да биде вклучено во единечните цени на соодветните позиции во Предмер пресметката и не се предвидени дополнителни плаќања на Изведувачот.</t>
  </si>
  <si>
    <t xml:space="preserve">АБ плочи </t>
  </si>
  <si>
    <t>Да се усогласи висината на различни типови на готов под во објектот.</t>
  </si>
  <si>
    <t>Пресметка по m³ вграден материјал.</t>
  </si>
  <si>
    <t>АРМИРАЧКИ РАБОТИ</t>
  </si>
  <si>
    <r>
      <t xml:space="preserve">Бетонирање на подлога од </t>
    </r>
    <r>
      <rPr>
        <b/>
        <sz val="10"/>
        <rFont val="Arial"/>
        <family val="2"/>
        <charset val="204"/>
      </rPr>
      <t>посен бетон</t>
    </r>
    <r>
      <rPr>
        <sz val="10"/>
        <rFont val="Arial"/>
        <family val="2"/>
        <charset val="204"/>
      </rPr>
      <t xml:space="preserve"> МБ15 со потребна оплата. </t>
    </r>
  </si>
  <si>
    <t>m³</t>
  </si>
  <si>
    <t>3.5</t>
  </si>
  <si>
    <t>kg</t>
  </si>
  <si>
    <t>ВКУПНО БЕТОНСКИ РАБОТИ</t>
  </si>
  <si>
    <t>4.1.1</t>
  </si>
  <si>
    <t>4.1.2</t>
  </si>
  <si>
    <t>Мрежеста арматура МА 500/560</t>
  </si>
  <si>
    <t>БРАВАРСКИ РАБОТИ / ЧЕЛИЧНА КОНСТРУКЦИЈА</t>
  </si>
  <si>
    <t>ИЗОЛАТЕРСКИ РАБОТИ</t>
  </si>
  <si>
    <t>8.2</t>
  </si>
  <si>
    <t>ВКУПНО ИЗОЛАТЕРСКИ РАБОТИ</t>
  </si>
  <si>
    <t>ОСТАНАТИ БРАВАРСКИ РАБОТИ</t>
  </si>
  <si>
    <t>12.1</t>
  </si>
  <si>
    <t>12.2</t>
  </si>
  <si>
    <t>12.3</t>
  </si>
  <si>
    <t>ВКУПНО ОСТАНАТИ БРАВАРСКИ РАБОТИ</t>
  </si>
  <si>
    <t>Олуци, опшивки  и други лимарски работи</t>
  </si>
  <si>
    <t>13.1</t>
  </si>
  <si>
    <t>ПОДОПОЛАГАЧКИ И КЕРАМИЧАРСКИ РАБОТИ</t>
  </si>
  <si>
    <t>14.1</t>
  </si>
  <si>
    <t>ВКУПНО ПОДОПОЛАГАЧКИ И КЕРАМИЧАРСКИ РАБОТИ</t>
  </si>
  <si>
    <t>МОЛЕРО-ФАРБАРСКИ РАБОТИ</t>
  </si>
  <si>
    <t>15.1</t>
  </si>
  <si>
    <t>ВКУПНО МОЛЕРОФАРБАРСКИ РАБОТИ</t>
  </si>
  <si>
    <t>МОНТАЖНИ ЅИДОВИ, ОБЛОГИ, ПЛАФОНИ И ПОДОВИ</t>
  </si>
  <si>
    <t>ВКУПНО МОНТАЖНИ ЅИДОВИ, ОБЛОГИ, ПЛАФОНИ И ПОДОВИ</t>
  </si>
  <si>
    <t>Напомена: Сите позиции вклучуваат набавка, транспорт и вградување на материјалот. Да се следат упатствата, деталите и техничките спецификации на производителот.</t>
  </si>
  <si>
    <t>Цената да вклучува бандажирање на сите споеви, китирање и глетување на споевите.</t>
  </si>
  <si>
    <t xml:space="preserve"> Пресметка по m² готов ѕид.</t>
  </si>
  <si>
    <t>7</t>
  </si>
  <si>
    <t>7.1</t>
  </si>
  <si>
    <t>7.2</t>
  </si>
  <si>
    <t>8</t>
  </si>
  <si>
    <t>8.3</t>
  </si>
  <si>
    <t>9</t>
  </si>
  <si>
    <t>9.1</t>
  </si>
  <si>
    <t>9.2</t>
  </si>
  <si>
    <t>10</t>
  </si>
  <si>
    <t>10.1</t>
  </si>
  <si>
    <t>11</t>
  </si>
  <si>
    <t>12</t>
  </si>
  <si>
    <t>12.4</t>
  </si>
  <si>
    <t>14</t>
  </si>
  <si>
    <t>15</t>
  </si>
  <si>
    <t>15.2</t>
  </si>
  <si>
    <t>пар</t>
  </si>
  <si>
    <t>1.5</t>
  </si>
  <si>
    <t>Ископ на земјен материјал од кота на постоечко плато до долна кота на подобрување под темелна конструкција на доградбата</t>
  </si>
  <si>
    <t>објект</t>
  </si>
  <si>
    <t>подест на надворешни пристапни скали</t>
  </si>
  <si>
    <t>ПОЗИЦИИ ОД ТЕРМОИЗОЛИРАНИ ПАНЕЛИ 
КРОВНА / ФАСАДНА ОБЛОГА</t>
  </si>
  <si>
    <t>Глетување со фасаден глет и боење со силиконска фасадна боја во два слоја на видливи бетоснки делови - бочни ѕидови на надворешни подести, скали и рампа</t>
  </si>
  <si>
    <t>9.4</t>
  </si>
  <si>
    <t>9.3</t>
  </si>
  <si>
    <t>10.2</t>
  </si>
  <si>
    <t>Фасадната браварија да биде прилагодена за вградување во фасаден ѕид од сендвич панел на челична потконструкција. Во цената на браваријата да се вклучат сите портебни потконструкции и китирање. 
Согласно шема на столарија.
Дадените димензии се ѕидарска мерка. 
Mерките да се проверат на лице место.</t>
  </si>
  <si>
    <t>10.3</t>
  </si>
  <si>
    <t>Врата за евакуација</t>
  </si>
  <si>
    <t>10.4</t>
  </si>
  <si>
    <t>Набавка, транспорт и монтажа на хоризонтални висечки олуци од пластифициран лим d=0,6mm, комплет со потребните челични држачи, на прописно растојание со оформување на падови кон вертикали, комплет со споен материјал и китирање. 
Да се усогласи со детал од готов систем од избран производител на кровни панели.</t>
  </si>
  <si>
    <t>Набавка, транспорт и монтажа на вертикални олуци, од пластифициран лим d=0.6mm, комплет со челични држачи на прописно растојание, со оформување на инка, со колена, испусти и сл., со споен материјал и китирање.</t>
  </si>
  <si>
    <t xml:space="preserve">Набавка, транспорт и монтажа на окапница кај олук од пластифициран лим d=0.6mm, комплет со споен материјал и китирање. </t>
  </si>
  <si>
    <t>Набавка, транспорт и монтажа на прозорски банкини од пластифициран лим d=0.6mm, комплет со споен материјал и китирање.</t>
  </si>
  <si>
    <t>Набавка, транспорт и монтажа на опшивки од пластифициран лим d=0.6mm, комплет со споен материјал и китирање:</t>
  </si>
  <si>
    <t>олук 12/12cm, РШ 45cm</t>
  </si>
  <si>
    <t>РШ 35cm</t>
  </si>
  <si>
    <t>Набавка, транспорт и монтажа на опшивка на слеме од пластифициран лим d=0.6mm, комплет со споен материјал и китирање
РШ 120cm (да се усогласи со детал од готов систем од избран производител на кровни панели)</t>
  </si>
  <si>
    <t>РШ 20cm</t>
  </si>
  <si>
    <t>НАСТРЕШНИЦА</t>
  </si>
  <si>
    <t>13.2</t>
  </si>
  <si>
    <t>Глетување и боење со боја за внатрешно молерисување на водена база, во два слоја на внатрешни гипскартонски ѕидови.</t>
  </si>
  <si>
    <t>Глетување и боење со боја за внатрешно молерисување на водена база, во два слоја на гипскартонски спуштен плафон.</t>
  </si>
  <si>
    <t xml:space="preserve">За сите молерисувања задолжително да се припреми подлогата според препораките на производителот.
Единечната цена да опфаќа: сите припреми и пробни боења на примероци, сите помошни скелиња, сите фази на боење, набавка, транспорт, складирање и разнесување на материјалот до работното место, чистење на работното место во тек и по завршувањето на работите и транспорт на вишокот материјал и шут до депонија. 
Пресметка по m² обработена површина. </t>
  </si>
  <si>
    <t>Набавка, транспорт и поставување на ПП апарат S9, комплет со држач за монтажа на ѕид и ознака за ПП апарат.</t>
  </si>
  <si>
    <t>12.5</t>
  </si>
  <si>
    <t>12.6</t>
  </si>
  <si>
    <t xml:space="preserve"> </t>
  </si>
  <si>
    <t>14.2</t>
  </si>
  <si>
    <t>15.3</t>
  </si>
  <si>
    <t>Под темелна конструкција d=50cm</t>
  </si>
  <si>
    <t>Под подна АБ плоча d=50cm</t>
  </si>
  <si>
    <t>- под АБ темелни стопи и греди, d=10cm</t>
  </si>
  <si>
    <t>- под АБ подна плоча, d=10cm</t>
  </si>
  <si>
    <t>Бетонирање на АБ периметрален / темелен ѕид h=120cm, d=20cm,  МБ30,  во потребна мазна оплата, со додаток за водонепропустливост</t>
  </si>
  <si>
    <t>3.4</t>
  </si>
  <si>
    <t>Бетонирање на надворешни АБ скали и рампа за објектот:</t>
  </si>
  <si>
    <t>скалишен крак - коса АБ плоча d=15cm, ширина 250cm, скалници 35/15,5cm</t>
  </si>
  <si>
    <t>Бетонирање на надворешни АБ скали за пристап до постоечка платформа меѓу објектите. Двокраки скали со подест, од АБ коса плоча d=15cm, бочни ѕидови d=20cm, темелни ленти 40/40cm.
Комплет со потребна арматура.</t>
  </si>
  <si>
    <t>Q-283</t>
  </si>
  <si>
    <t>ВКУПНО АРМИРАЧКИ РАБОТИ</t>
  </si>
  <si>
    <t>Ребреста арматура B 500</t>
  </si>
  <si>
    <t>профили и лимови</t>
  </si>
  <si>
    <t>завртки</t>
  </si>
  <si>
    <t>М14...150 завртка со навртка</t>
  </si>
  <si>
    <t>М14...155 завртка со навртка</t>
  </si>
  <si>
    <t>6.2</t>
  </si>
  <si>
    <t>Набавка, транспорт и монтажа на HD-PE мембрана под подна АБ плоча. 
Пресметка по m² изолирана површина.</t>
  </si>
  <si>
    <t>8.1</t>
  </si>
  <si>
    <t>Набавка, транспорт и монтажа на HD-PE мембрана за заштита на вертикална изолација кај подземен дел од парапетни ѕидови.
Пресметка по m² изолирана површина.</t>
  </si>
  <si>
    <t>6.4</t>
  </si>
  <si>
    <t>6.3</t>
  </si>
  <si>
    <t>6.5</t>
  </si>
  <si>
    <t>EPS d=8cm - објект</t>
  </si>
  <si>
    <t>EPS d=6cm - скалишен подест</t>
  </si>
  <si>
    <t>6.6</t>
  </si>
  <si>
    <t>Набавка, транспорт и монтажа на XPS d=2cm, на дилатација на нова конструкција со постоечки објект</t>
  </si>
  <si>
    <t>доградба</t>
  </si>
  <si>
    <t>ѕид од постоечки објект во зона на доградбата</t>
  </si>
  <si>
    <t>6.5.1</t>
  </si>
  <si>
    <t>6.5.2</t>
  </si>
  <si>
    <t>Набавка, транспорт и монтажа на ПЕ фолија врз термоизолација од позиција 6.5</t>
  </si>
  <si>
    <t>вкупна тежина со вклучен 3% растур</t>
  </si>
  <si>
    <t>11.1.1</t>
  </si>
  <si>
    <t>11.1.2</t>
  </si>
  <si>
    <t>Под АБ плоча на скали и рампа d=20cm</t>
  </si>
  <si>
    <t>Отстранување на постоечка партерна обработка од бекатон плочки во дел за доградба на објект шпедиции. Материјалот да се складира за повторна употреба - поплочување околу објектот по изградба на објектот.</t>
  </si>
  <si>
    <t>13.4</t>
  </si>
  <si>
    <t>под подна плоча - околу темели на објект до ниво на тампон под плоча</t>
  </si>
  <si>
    <r>
      <t>m</t>
    </r>
    <r>
      <rPr>
        <sz val="10"/>
        <rFont val="Arial"/>
        <family val="2"/>
      </rPr>
      <t>²</t>
    </r>
  </si>
  <si>
    <t>Нивелирање и набивање на подтло за темелење на објектот до потребниот модул на збиеност на завршен слој да изнесува Mv=50MPa</t>
  </si>
  <si>
    <t xml:space="preserve">Набавка, транспорт и вградување на тампонски материјал, со набивање во слоеви од 20-30cm до потребен модул на збиеност  на завршен слој да изнесува Mv=50MPa. Гранулација 0-63мм. </t>
  </si>
  <si>
    <t>Набавка, транспорт и вградување на мешовит материјал од ископ околу темели на објектот, од 20-30cm до потребен модул на збиеност  на завршен слој да изнесува Mv=50MPa.</t>
  </si>
  <si>
    <t>олук 18/22cm, РШ 80cm</t>
  </si>
  <si>
    <t>Ø80 mm</t>
  </si>
  <si>
    <t>Ø100 mm</t>
  </si>
  <si>
    <t>Набавка, транспорт и монтажа на хоризонтален олук кај настрешница, од пластифициран лим d=0,6mm, комплет со потребните челични држачи, на прописно растојание со оформување на падови кон вертикали, комплет со споен материјал и китирање. 
Да се усогласи со детал од готов систем од избран производител на кровни панели.</t>
  </si>
  <si>
    <t>12.7</t>
  </si>
  <si>
    <t>12.8</t>
  </si>
  <si>
    <t>12.9</t>
  </si>
  <si>
    <t xml:space="preserve">ПРЕДМЕР ПРЕСМЕТКА НА ПОТРЕБНАТА ОПРЕМА И МАТЕРИЈАЛИ </t>
  </si>
  <si>
    <t xml:space="preserve">Набавка, транспорт и монтажа на: </t>
  </si>
  <si>
    <t xml:space="preserve">Р.бр. </t>
  </si>
  <si>
    <t>Опис</t>
  </si>
  <si>
    <t>колич.</t>
  </si>
  <si>
    <t>един. цена</t>
  </si>
  <si>
    <t>вкупна   цена</t>
  </si>
  <si>
    <t xml:space="preserve">Сплит инвертер клима уред , комплет со надворешна и внатрешна единица со номинален топлински капацитет 
Qc=2.6 kW , Qh=3.2 kW Nеl.=0.65 kW; Опсег на работа при температура од -20 до +43 оС
Приклучоци за цевки Cu 6.35/9.52               </t>
  </si>
  <si>
    <t>парч.</t>
  </si>
  <si>
    <t xml:space="preserve">Сплит инвертер клима уред , комплет со надворешна и внатрешна единица со номинален топлински капацитет 
Qc=3.5 kW , Qh=4.2 kW Nеl.=0.88 kW; Опсег на работа при температура од -20 до +43 оС
Приклучоци за цевки Cu 6.35/9.52               </t>
  </si>
  <si>
    <t>Бакарна цевка за поврзување на внатрешната со надворешната  единица</t>
  </si>
  <si>
    <t>Ф 6.35</t>
  </si>
  <si>
    <t>m1</t>
  </si>
  <si>
    <t>Ф 9.52</t>
  </si>
  <si>
    <t xml:space="preserve">Изолација за бакарни цевки </t>
  </si>
  <si>
    <t>Ф 6.4 х 9 mm</t>
  </si>
  <si>
    <t>Ф 9.5  х 9 mm</t>
  </si>
  <si>
    <t>Споен материјал за бакарните цевки како колена, муфови,   држачи за нивно ослонување,  гас и електроди за варење 20 % од поз. 3</t>
  </si>
  <si>
    <t>Надополнување на инсталациите  со ладилен флуид R32</t>
  </si>
  <si>
    <t xml:space="preserve">Интерконекциски кабел за поврзување  на внатрешната единица  со надворешната, </t>
  </si>
  <si>
    <t xml:space="preserve">Цевна мрежа за кондензат од ППР (полипропиленски) цевки, комплет со споен материјал  </t>
  </si>
  <si>
    <t>Ф22</t>
  </si>
  <si>
    <t xml:space="preserve">Испитување на системите за климатизација   и пуштање во работа </t>
  </si>
  <si>
    <t>PHASE ELECTRICAL INSTALLATIONS FOR INDUSTRIAL OBJECT ALKALOID</t>
  </si>
  <si>
    <t>Бр.</t>
  </si>
  <si>
    <t>Oпис</t>
  </si>
  <si>
    <t>Description</t>
  </si>
  <si>
    <t>Е.M./ Unit</t>
  </si>
  <si>
    <t>Количина/ quantity</t>
  </si>
  <si>
    <t>Единечна цена/ Unit price</t>
  </si>
  <si>
    <t>Вкупна цена
Price</t>
  </si>
  <si>
    <t xml:space="preserve">                  A. ЈАКА СТРУЈА</t>
  </si>
  <si>
    <t xml:space="preserve">                  A. Power Supply</t>
  </si>
  <si>
    <t xml:space="preserve">A.1 Разводни табли </t>
  </si>
  <si>
    <t>A.1 Distribution boards</t>
  </si>
  <si>
    <t xml:space="preserve">Испорака и монтажа на слободно стоечки метални ормари од двапати декапиран лим обоен со соодветна боја  и истата да биде со заштита IP55. Сите кабли на лице место да се измерат должините и да се предвидат точните должини према ситуацијата. </t>
  </si>
  <si>
    <t>Delivery and installation of free standing metal cabinets and decapitated tin painted with the appropriate color and the same with protection IP55. All cables on the spot to be measure and to predict the exact lengths.</t>
  </si>
  <si>
    <t>Целокупната опрема наведена во описите да биде со приложен сертификат како и за самите разводни ормари да стои сертифицирана фирма. Во таблите да се остави резервен простор мин.20%.</t>
  </si>
  <si>
    <t>The complete equipment specified in the descriptions must be accompanied by a certificate as well as the switchgear itself to be from certified company. Leave spare space min. 20% in the boards.</t>
  </si>
  <si>
    <t>Во разводните табли да се наоѓа следнава опрема:</t>
  </si>
  <si>
    <t>In the distribution boards to be installed with following equipment:</t>
  </si>
  <si>
    <t xml:space="preserve">РТ -к карактеристични разводни табли за мрежен дел и резервен простор од 20% за вградување на додатна опрема .Таблата е  надѕидна.Во таблата да се монтира следната опрема :  </t>
  </si>
  <si>
    <t>PT-A should be made of 2 mm decafed tin, two-layers dyed paint and 20% spare space for the installation of additional equipment. The tile is a stand-alone mounting IP 55 with a lock. The following equipment should be installed on the board :</t>
  </si>
  <si>
    <t xml:space="preserve"> ФИД склопки RCD 4x25А со осетливост 0,03А</t>
  </si>
  <si>
    <t>FID switches RCD 4x25A with sensitivity 0.03A</t>
  </si>
  <si>
    <t xml:space="preserve">пар. </t>
  </si>
  <si>
    <t xml:space="preserve"> авто.осигурачи 1полен, кар. Б 10А </t>
  </si>
  <si>
    <t>automatic fuse 1 p, caracter. B10A</t>
  </si>
  <si>
    <t xml:space="preserve"> авто.осигурачи 1полен, кар. Б 16А </t>
  </si>
  <si>
    <t>surge arrestor</t>
  </si>
  <si>
    <t xml:space="preserve"> Комплет со редни клеми, осветлување , резервни шини за нижење , уводници за кабли , помошен материјал , според еднополни шеми и испорака на атест за степен за заштита од производителот на опремата . </t>
  </si>
  <si>
    <t>Set of terminal clamps, lighting, spare lowering rails, cable wiring, auxiliary material, according to single-pole schemes and delivery of attestation for degree of protection from the manufacturer of the equipment.</t>
  </si>
  <si>
    <t xml:space="preserve">РТ-z -  заедничка потрошувачка за мрежен дел и резервен простор од 20% за вградување на додатна опрема .Таблата е  надѕидна.Во таблата да се монтира следната опрема :  </t>
  </si>
  <si>
    <t xml:space="preserve">
Supply, delivery and installation of power supply cables from GRT for general purpose distribution boards.</t>
  </si>
  <si>
    <t>Kaбел  NYY-ј 5х6мм2</t>
  </si>
  <si>
    <t>Cable NYY-J 4x120 mm2 + 1x70mm2 RT A</t>
  </si>
  <si>
    <t xml:space="preserve">Поврзување од земја до влез на објект со регал 600х60 затворен капак, топло поцинкуван за надворешни услови по висина на објект во должина од 3м. </t>
  </si>
  <si>
    <t xml:space="preserve">Ископ на земја од 3 категорија комплет со затрпување за поставување на кабли во земја од ННТ до објект. </t>
  </si>
  <si>
    <t>м</t>
  </si>
  <si>
    <t xml:space="preserve">Припрема на бетонски отвор во земја, со димензии 0.5х0.5х0.5 м со 2х3 односно 6 цевки ф100 за излез на каблите од земја. </t>
  </si>
  <si>
    <t>Затварање на продори во објект и во бетонски дел од земја, заштита од продор на влага</t>
  </si>
  <si>
    <t>Пуштање во работа на целокупната опрема со портебни сертификати и дозволи</t>
  </si>
  <si>
    <t>Вкупно A.1.</t>
  </si>
  <si>
    <t>Total A.1.</t>
  </si>
  <si>
    <t xml:space="preserve">A.2.Ел. Инсталации за осветлување </t>
  </si>
  <si>
    <t>A.2.El. Lighting installations</t>
  </si>
  <si>
    <t xml:space="preserve">Позициите подразбираат набавка, испорака и монтажа на следниве елементи, комплет со поврзување и пуштање во работа. </t>
  </si>
  <si>
    <t xml:space="preserve">
The positions include the purchase, delivery and installation of the elements, a set of connection and commissioning.</t>
  </si>
  <si>
    <t>Администрација и магацини сите пресметки се дадени во прилог на проектот</t>
  </si>
  <si>
    <t>Administration</t>
  </si>
  <si>
    <t>Circular LED lигхт, 18W, 1500 lm, in the AL housing IP 65, given in the attachment.</t>
  </si>
  <si>
    <t>Built-in circular LED light, 9.5W, 1100 lm with AL housing and polycarbonate reflector given in the attachment.</t>
  </si>
  <si>
    <t xml:space="preserve">Прекинувачи за светло поставен во дозна со маска и подлошка, спремен за работа, групирањето на прекинувачите да се направи према подлогите од проектот.  </t>
  </si>
  <si>
    <t>Switches for light plasterboard or wall mounted for each round separately for admistration.</t>
  </si>
  <si>
    <t xml:space="preserve">Прекинувачи наизменичци за светло поставен во дозна со маска и подлошка, спремен за работа, групирањето на прекинувачите да се направи према подлогите од проектот.  </t>
  </si>
  <si>
    <t>N2XH- 4 x 1,5 mm2 канцеларии</t>
  </si>
  <si>
    <t xml:space="preserve">NHXH- 3 x 1.5 mm2 for ADM
</t>
  </si>
  <si>
    <t xml:space="preserve">Флексибилно црево Ф16mm </t>
  </si>
  <si>
    <t>Flexible hose F20mm ADM</t>
  </si>
  <si>
    <t xml:space="preserve">Дозни, завршни елементи на метални делови, украсни лајсни за метални регали и ситен монтажен материјал за изведба на осветлување, комплет за се. </t>
  </si>
  <si>
    <t>Dosage metal and plastic, finishing elements of metal parts, decorative battens for metal racks and small mounting material for lighting performance</t>
  </si>
  <si>
    <t>Напомена: ПНК каналите се опишани во инсталации на јака струја</t>
  </si>
  <si>
    <t>Note: The PNK channels are described in high power installations</t>
  </si>
  <si>
    <t>Испитување и пуштање во работа на осветлувањето</t>
  </si>
  <si>
    <t>Examination and commissioning of lighting instalations</t>
  </si>
  <si>
    <t>Вкупно A.2.</t>
  </si>
  <si>
    <t>Total A.2</t>
  </si>
  <si>
    <t>A3.Eл. инсталација на јака стуја</t>
  </si>
  <si>
    <t xml:space="preserve">A3.El. installation of a power supply </t>
  </si>
  <si>
    <t>Набавка, испорака и монтажа на следните елементи:</t>
  </si>
  <si>
    <t>Supply, delivery and installation of the following elements:</t>
  </si>
  <si>
    <t xml:space="preserve">Приклучоци на зид за инсталација на монофазна шуко приклучница комплет со маска и подлошка во бела боја,  утичниците можат да се групираат према графичи прилози во една дозна, маска и подлошка. </t>
  </si>
  <si>
    <t>Connectors in a pillar for installation of a single-phase modular shuto-socket complete with mask and a red-colored patch</t>
  </si>
  <si>
    <t xml:space="preserve">Набавка, испорака и монтажа на кабел во флексибилно црево и ПНК регал за разводни кутии, грејни кабли  и тн: </t>
  </si>
  <si>
    <t>Supply, delivery and installation of cable in flexible hose and PNK rack for switch boxes, heating cables, etc.:</t>
  </si>
  <si>
    <t xml:space="preserve">N2XH  - 3 x 2,5 mm2 </t>
  </si>
  <si>
    <t>NHXH  - 3 x 2,5 mm3</t>
  </si>
  <si>
    <t>Набавка, испорака и монтажа на ПНК поцинкован кабелски заклопени (со капак) канали со комплет овесна опрема и приклучни елементи за се комплет дадени во следните димензии (истите мораат да имаат сертификат за издржливост на растојание):</t>
  </si>
  <si>
    <t>Supply, delivery and installation of PNC galvanized cable-clipped (with lid) channels with set of accessories and fitting for complete shown in the following dimensions (they must be certified for distance endurance):</t>
  </si>
  <si>
    <t xml:space="preserve">Метален кабелски регал ПНК - 300 x 60mm на метална конструкција,  ., ниска од висока струја. Комплет со капак, кривини, спустови и спојни елементи. </t>
  </si>
  <si>
    <t>Metal cable reel PNK - 400 x 60mm on metal construction, concrete pillar or ceiling or on the upper surface of the ceiling panel of metal reservoirs erected by the panel. Lid set and fittings.</t>
  </si>
  <si>
    <t xml:space="preserve">Метален кабелски регал ПНК - 200 x 60mm на метална конструкција,  постваени на соодветна конзола, со преграда за поделба на инсталации. Комплет со капак, кривини, спустови и спојни елементи. </t>
  </si>
  <si>
    <t>Metal cable reel PNK - 200 x 60mm on metal construction, concrete pillar or ceiling or on the upper surface of the ceiling panel of metal reservoirs erected from the panel. Lid set and fittings.</t>
  </si>
  <si>
    <t xml:space="preserve">Метален кабелски регал ПНК - 100 x 60mm на метална конструкција, постваени на соодветна конзола, со преграда за поделба на инсталации. Комплет со капак, кривини, спустови и спојни елементи. </t>
  </si>
  <si>
    <t>Metal cable reel PNK - 100 x 60mm on metal construction, concrete pillar or ceiling or on the upper surface of the ceiling panel on metal reservois erected from the panel. Lid set and fittings.</t>
  </si>
  <si>
    <t xml:space="preserve">Затвoрање на отвори со противпожарно средство огноотпорно минимум 30мин, отворите да се затвараат да се одвојат пожарни зони, додека каблите да се премачкаат мин 30см во должина, комплетна ставка за сите отвори. </t>
  </si>
  <si>
    <t>Closing openings with a fireproof materials minimum 30min, openings to be closed to separate fire zones, while the cables must be mined at least 3cm in length</t>
  </si>
  <si>
    <t>Испитување и пуштање во работа на инсталацијата за јака струја</t>
  </si>
  <si>
    <t>Testing and putting into operation of a strong current installation.</t>
  </si>
  <si>
    <t xml:space="preserve">  Вкупно A.3:</t>
  </si>
  <si>
    <t>Total A.3</t>
  </si>
  <si>
    <t>A.4 Електро инсталација за машинска опрема</t>
  </si>
  <si>
    <t xml:space="preserve">
A.4 Electrical installations for mehanical equipment</t>
  </si>
  <si>
    <t xml:space="preserve">Напомена: Машинска опрема не е предвидена во оваа фаза од проектот. </t>
  </si>
  <si>
    <t xml:space="preserve"> Вкупно A.4 :</t>
  </si>
  <si>
    <t>Total A.4</t>
  </si>
  <si>
    <t>A.5 Заштита од напон на допир и заземјување</t>
  </si>
  <si>
    <t>A.5 Protection and grounding</t>
  </si>
  <si>
    <t>Набавка, испорака и монтажа на следниве елементи:</t>
  </si>
  <si>
    <t>Поцинкувана FeZn 25х4мм трака од темелен заземјувач до ЕПШ за приклучување на постоечката опрема за заземјување со комплет спојна опрема, вкрсно парче премачкано со битумен после спојување во темели на објект и до секоја разводна табла. Просечна должина на парче од 5м.</t>
  </si>
  <si>
    <t xml:space="preserve">Galvanized FeZn 30x4mm track from a measurement to the existing grounding equipment with complete set of equipment, cross-piece bituminous bitmap after joining in the foundations of the building and to each switchboard, equipment from the substation, as well as metal pillars and leaning in the halls. </t>
  </si>
  <si>
    <t xml:space="preserve">Еквипотенцијална шина за приклучок на постоечкото заземјување со метални делови од опрема до разводни ормари. </t>
  </si>
  <si>
    <t>Equipotential busbar for connection to existing grounding with metal parts of equipment.</t>
  </si>
  <si>
    <t>Кабел за заземјување на разводните ормари во објектот P/F 1х16мм2 приклучна опрема од ЕПШ до РТ во просечна должина од 10-12м</t>
  </si>
  <si>
    <t>Cable for earthing of metal parts (metal racks, metal pipes, metal construction of equipment, etc.) in the P / F 1х10mm2 facility with an average length of 0.5-2m with complete fitting</t>
  </si>
  <si>
    <t xml:space="preserve">Мерење на овластена организација на заземјување и издавање на сертификат . Комплет за цел објект. Во случај истото да не задоволува мора да се направи анализа на заземјувањето и направи проект за заземјување на објектот. </t>
  </si>
  <si>
    <t>Measurement of the authorized organization of grounding and issuance of a certificate.</t>
  </si>
  <si>
    <t xml:space="preserve"> Вкупно A.5 :</t>
  </si>
  <si>
    <t>Total A.5</t>
  </si>
  <si>
    <t xml:space="preserve">         Б. СЛАБОСТРУЈНИ ИНСТАЛАЦИИ</t>
  </si>
  <si>
    <t>B. LOW VOLTAGE INSTALLATIONS</t>
  </si>
  <si>
    <t>Б.1 Инсталација за панично светло</t>
  </si>
  <si>
    <t>B.1 Panic light installation</t>
  </si>
  <si>
    <t>Набавка, испорака  и  монтажа  на  ѕид. панична светилка ЛЕД 2-3W за работа со сопствен извор (батерија) со 30 минутна автономност.</t>
  </si>
  <si>
    <t>Supply, delivery and installation on a wall. pan light 8W LED for work with its own source (battery) with 90 minute autonomy.</t>
  </si>
  <si>
    <t xml:space="preserve"> Комплетен  со  следната опрема </t>
  </si>
  <si>
    <t>Complete with the following equipment</t>
  </si>
  <si>
    <t>* панична  светилка со натпис “Излез”</t>
  </si>
  <si>
    <t>* panic lamp with inscription "EXIT"</t>
  </si>
  <si>
    <t>* панична  светилка со натпис “Стрелка”</t>
  </si>
  <si>
    <t>* panic lamp with inscription "Arrow"</t>
  </si>
  <si>
    <t>Испорака  и  полагање на проводник N2ХY 3 х 2,5 mm2 во ПНК регал  за поврзување на паничните светилки.</t>
  </si>
  <si>
    <t>Delivery and laying of NYY conductor 3 x 1.5 mm2 in PNK rack for connection of panic lamps.</t>
  </si>
  <si>
    <t>Флексибилно црево Ф16mm самогасиво, без халогено</t>
  </si>
  <si>
    <t>Flexible hose F16mm self-extinguishing, without halogen</t>
  </si>
  <si>
    <t xml:space="preserve"> Вкупно Б.1 :</t>
  </si>
  <si>
    <t>Total B.1</t>
  </si>
  <si>
    <t>Б.2 Инсталација за дојава на пожар</t>
  </si>
  <si>
    <t>B.2 Installation for fire alarm</t>
  </si>
  <si>
    <t>Addressable programmable FF Central possibility of connecting 2 cards (modules) and programming of 250 addresses per circle, PC personal output and module for electric panel according to МКС EN54-2 / ​​4</t>
  </si>
  <si>
    <t xml:space="preserve">оптички јавувач на чад, согласно           МКС ЕН54-7
</t>
  </si>
  <si>
    <t>Addressable smoke detectors, according to ISS EN54-7</t>
  </si>
  <si>
    <t>Footprint for addressable fire detector, according to</t>
  </si>
  <si>
    <t xml:space="preserve">Пластична табличка која се монтира на базата и на која се означува зона/детектор на јавувачот   
</t>
  </si>
  <si>
    <t>Plastic plate that is mounted on the base and on which the caller zone / detector is designated</t>
  </si>
  <si>
    <t xml:space="preserve">рачен јавувач на пожар, црвен, за внатрешни услови IP52 , согласно           МКС ЕН54-11,МКС ЕН54-17
</t>
  </si>
  <si>
    <t>Addressable fire alarm system, red, for internal conditions IP52, in accordance with ICS EN54-11, МКС EN54-17</t>
  </si>
  <si>
    <t xml:space="preserve">ПП сирена со флешер 80-99dB, согласно МКС ЕН54-11,МКС ЕН54-17                                                                                   </t>
  </si>
  <si>
    <t>Adressable PP siren with flasher 80-99dB, according to МКС EN54-11, МКС EN54-17</t>
  </si>
  <si>
    <t xml:space="preserve">Инсталациони  кабли и црева кои ги задоволуваат следниве стандарди: </t>
  </si>
  <si>
    <t>Installation cables and hoses that meet the following standards:</t>
  </si>
  <si>
    <t xml:space="preserve"> - без халоген  DIN EN 50267/IEC60754. </t>
  </si>
  <si>
    <t xml:space="preserve"> - halogen free DIN EN 50267 / IEC60754.</t>
  </si>
  <si>
    <t xml:space="preserve"> - Заштита од пламен VDE 0482-266-2-4/ IEC60332-3-24</t>
  </si>
  <si>
    <t xml:space="preserve"> - Flame retardant VDE 0482-266-2-4 / IEC60332-3-24</t>
  </si>
  <si>
    <t xml:space="preserve"> - Густина на чад  DIN EN 61034/IEC 61034</t>
  </si>
  <si>
    <t xml:space="preserve"> - Smoke density  DIN EN 61034/IEC 61035</t>
  </si>
  <si>
    <t>Инсталационен противпожарен  кабел за ПП инсталација, огноотпорен, црвена боја,halogen free  
тип: JЕH(St)H 2x2x0,8mm FE 180 E30-90, согласно DIN VDE 0815</t>
  </si>
  <si>
    <t>Installation fire protection cable for PP installation, fireproof, red color, halogen free
type: JH (St) H 2x2x0.8mm FE 180 E30-90, according to DIN VDE 0815</t>
  </si>
  <si>
    <t>Флексибилно црево Ф16mm самогасиво ,Halogen Free , комплет со врзувачки емементи за ПНК канал, плафон - шелни, зидни шелни и останати елеменнти за прицврстување на инсталации</t>
  </si>
  <si>
    <t>Flexible hose F16mm self-extinguishing, Halogen Free, PNK channel bonding kit, ceiling rails, wall rails and other mounting elements for installation</t>
  </si>
  <si>
    <t>Обука на запослените на корисникот за ракување со комплетниот систем према препораките на испорачателот (5 особи)</t>
  </si>
  <si>
    <t>Training of the users of the system for handling the complete system according to the recommendations of the supplier (5 persons)</t>
  </si>
  <si>
    <t>пауш</t>
  </si>
  <si>
    <t>Монтажа на опремата , контрола на целокупниот систем, функционална проба на системот,  и званично пуштање во употреба.</t>
  </si>
  <si>
    <t>Equipment assembly, control of the entire system, functional test of the system, and official commissioning.</t>
  </si>
  <si>
    <t>Изработка на техничка документација на изведената состојба на системот во 3 примероци, вклучувајќи ја целокупната потребна документација, технички листови, сертификати на уградената опрема и се што  е потребно за технички преглед на системот.</t>
  </si>
  <si>
    <t>Preparation of technical documentation of the performed condition of the system in 3 copies, including all necessary documentation, technical sheets, certificates of built-in equipment and everything necessary for technical inspection of the system.</t>
  </si>
  <si>
    <t>Вкупно Б.2:</t>
  </si>
  <si>
    <t>Total B.2</t>
  </si>
  <si>
    <t>Б.3 Компјутерска и телефонска инсталација</t>
  </si>
  <si>
    <t>B.3 Computer and telephone installation</t>
  </si>
  <si>
    <t>Телефонски и компјутерски РАК ормар со главна реглета со доволен број приклучници за телефонска и компјутерска инсталација.</t>
  </si>
  <si>
    <t>Kомпјутерски мрежен ормар 24U, 600x400 мм во лабараторија, 19", метален, со застаклена врата, демонтажни страни, опремена со 2x24 РЈ45 тип приклучници, вентилатори, заземјување, 6 монофазни утичници за приклучување на елементи итн. RACK 1</t>
  </si>
  <si>
    <t>Computer networking cabinet 9U, 600x400 mm in laboratory, 19 , metal, glazed door, dismantling sides, equipped with 3x24 RJ45 type sockets, fans, grounding, etc.</t>
  </si>
  <si>
    <t xml:space="preserve">Patch panel 24 РЈ 45 тип на приклучници за монтажа во РАК, комплет со поврзување и напојување. </t>
  </si>
  <si>
    <t>Свич (switch) кој има 24 порти со напојување(PoE). Автоматски детектира и ги напојува уредите кои се компатибилни.</t>
  </si>
  <si>
    <t>Switch that has 24 ports with power supply (PoE). Automatically detects and supplies devices that are compatible.</t>
  </si>
  <si>
    <t xml:space="preserve">Модуларни приклучници за компјутерска или телефонска инсталација RJ45 3М Cat 6a /FTP, комплет 3 приклучни ци со дозна 3М и маски и подлошки спремни за работа. </t>
  </si>
  <si>
    <t>Modular connectors for computer or telephone installation RJ45 1M Cat 6a / FTP, ready-to-use masks and sockets.</t>
  </si>
  <si>
    <t>Набавка и монтажа на кабел за поврзување на инсталација</t>
  </si>
  <si>
    <t xml:space="preserve">Purchase and installation of cable for connecting the installation
</t>
  </si>
  <si>
    <t>F/FTP-4x2x0,51mm, Cat.6а, 750MHz кабел</t>
  </si>
  <si>
    <t>F / FTP-4x2x0.51mm, Cat.6a, 750MHz cable</t>
  </si>
  <si>
    <t>Монтажа,  испитување, пуштање во работа и изработка на техничка документација од избраниот испорачател на опрема</t>
  </si>
  <si>
    <t>Assembly, testing, commissioning and preparation of technical documentation from the selected equipment supplier</t>
  </si>
  <si>
    <t xml:space="preserve">Напомена: Металните регали за компјутерска и телефонска инсталација, се користат и за кабли за систем за  ПП исталација. </t>
  </si>
  <si>
    <t>Note: Metal racks for computer and telephone installation are also used for camera cables, access control system and PP equipments.</t>
  </si>
  <si>
    <t xml:space="preserve">Ситен монтажен материјал, завршни елементи (украсни на металните канали), и сите непредвидени работи при монтажа на кабелските канали. </t>
  </si>
  <si>
    <t>Small mounting material, finishing elements (ornaments on metal channels), and all unforeseen works when installing cable ducts.</t>
  </si>
  <si>
    <t>Вкупно Б.3:</t>
  </si>
  <si>
    <t>Total B.3</t>
  </si>
  <si>
    <t>Б.4 Мониторинг систем - камери</t>
  </si>
  <si>
    <t>B.4 Monitoring system - cameras</t>
  </si>
  <si>
    <t>Набавка, испорака и монтажа на следните  елементи:</t>
  </si>
  <si>
    <t>Надворешна камера за препознавање на лица со следниве карактеристики или слично,   IP Camera bullet, 6MP with CMOS IR sensor
lens 7-35mm motorized, PoE, identify 76m, IR distance 100m, IP66. 12.95W</t>
  </si>
  <si>
    <t>External Face Detection Camera with the following features or the like, IP Camera 6MP with CMOS IR sensor
lens 7-35mm motorized, PoE, identify 76m, IR distance 100m, IP66 , 12.95 W</t>
  </si>
  <si>
    <t xml:space="preserve">PC NVR:    16 канелен дигитален видео рекордер, remote acces ePoE и PoE  </t>
  </si>
  <si>
    <t xml:space="preserve">PC NVR: 16 canal digital video recorder, remote access, ePoE ( to power up 800m, 10МBps, 13W or 300m, 100Mbps, 25.4W) </t>
  </si>
  <si>
    <t>Монитор од 22'' за можност на прелистување на повеќе камери истовремено. Со 2 HDMI влезови. Комплет со 2х кабели HDMI со должина од 10м.</t>
  </si>
  <si>
    <t xml:space="preserve">Monitor 42' for monitoring 32 camera in the same monent. With 2 HDMI. </t>
  </si>
  <si>
    <t>HDD за складирање на пподатоци, како и направа за бекап на податоци HDD 8TB</t>
  </si>
  <si>
    <t>HDD for storage of data and also back up divises,  HDD 8TB</t>
  </si>
  <si>
    <t>F/FTP-4x2x0,51mm, Cat.6a, 750MHz кабел</t>
  </si>
  <si>
    <t>пластично, самогасиво црево, без халоген, Ф16 за камерите во објектите.</t>
  </si>
  <si>
    <t>plastic, self-extinguishing hose, no halogen, F16, for camera inide the buildings</t>
  </si>
  <si>
    <t>Испитување и пуштање во работа на инсталацијата за слаба струја</t>
  </si>
  <si>
    <t>Testing and putting into operation of a low current installation.</t>
  </si>
  <si>
    <t>Вкупно Б.4:</t>
  </si>
  <si>
    <t>Total B.4:</t>
  </si>
  <si>
    <t>РЕКАПИТУЛАР :</t>
  </si>
  <si>
    <t>A2.Ел. Инсталации за осветлување</t>
  </si>
  <si>
    <t>A.4 Електро опрема за машинска опрема</t>
  </si>
  <si>
    <t>Total den;</t>
  </si>
  <si>
    <r>
      <t xml:space="preserve">TOTAL </t>
    </r>
    <r>
      <rPr>
        <b/>
        <sz val="10"/>
        <rFont val="Calibri"/>
        <family val="2"/>
      </rPr>
      <t>€</t>
    </r>
    <r>
      <rPr>
        <b/>
        <sz val="10"/>
        <rFont val="Arial"/>
        <family val="2"/>
        <charset val="204"/>
      </rPr>
      <t xml:space="preserve"> :</t>
    </r>
  </si>
  <si>
    <t>Total euro</t>
  </si>
  <si>
    <t xml:space="preserve">П Р Е Д М Е Р </t>
  </si>
  <si>
    <t>ЗА НАДВОРЕШНИ ХИДРОТЕХНИЧКИ ИНСТАЛАЦИИ</t>
  </si>
  <si>
    <t>Р.бр.</t>
  </si>
  <si>
    <t>Ед.  мера</t>
  </si>
  <si>
    <t>АТМОСФЕРСКА КАНАЛИЗАЦИЈА</t>
  </si>
  <si>
    <t>Обележување и исколчување на каналскиот ров по прописи за земјани работи</t>
  </si>
  <si>
    <t>m'</t>
  </si>
  <si>
    <t>Машински ископ 70%</t>
  </si>
  <si>
    <r>
      <t>m</t>
    </r>
    <r>
      <rPr>
        <vertAlign val="superscript"/>
        <sz val="10"/>
        <rFont val="Verdana"/>
        <family val="2"/>
      </rPr>
      <t>3</t>
    </r>
  </si>
  <si>
    <t>Рачен ископ 30%</t>
  </si>
  <si>
    <t>Докоп на земја за изведба на шахтите, сливниците, линиските решетки и риголи</t>
  </si>
  <si>
    <t>Фино планирање на дното на ровот со точност од ±2см</t>
  </si>
  <si>
    <t>по табеларен  (10% од вкупен ископ)</t>
  </si>
  <si>
    <t xml:space="preserve">Набавка, транспорт и полагање на ситен сепариран песок на дно на ровот со д=15см. </t>
  </si>
  <si>
    <t>по табеларен преглед</t>
  </si>
  <si>
    <t>Набавка, транспорт и вградување на тампонски материјал под шахтата со дебелина од 10см.</t>
  </si>
  <si>
    <t>од кровови</t>
  </si>
  <si>
    <t>Транспорт на преостаната ископана почва до  депонија на растојание до 5км. Со утовар, растовар и разастирање на истата</t>
  </si>
  <si>
    <t>Набавка, транспорт и вградување на бетонски прстен за лиено железен капак ДН625 според ДИН19584 и ЕН124. Прстенот да е од истиот производител</t>
  </si>
  <si>
    <t>Набавка, транспорт и монтажа на лиено железен капак Ø600мм за ревизиона шахта - тежок тип без отвори за вентилација, со носивост за тешки возила</t>
  </si>
  <si>
    <t xml:space="preserve">Набавка, транспорт и монтажа на U-PVC  цевки   за улична канализацијаповрзување на олуците со атмосферската канализација, комплет со сите фитинзи, спојни елементи и заптивни материјали, монтирани во претходно изработени ровови врз подлога од песок. </t>
  </si>
  <si>
    <t>Набавка, транспорт и монтажа на олучњаци поставени во долниот дел од олукот, опремени со капак, корпа-филтер за собирање на нечистотии. Од горната страна поставен капак за исполна со плочка(тампон)</t>
  </si>
  <si>
    <t>Чистење, испирање и испитување заптивеност на канализацијата</t>
  </si>
  <si>
    <t>Р Е К А П И Т У А Ц И Ј А</t>
  </si>
  <si>
    <t>Надворешна атмосферска канализација</t>
  </si>
  <si>
    <t>Опис на работа и материјал</t>
  </si>
  <si>
    <t>ЗА ВНАТРЕШНИ ХИДРО ИНСТАЛАЦИИ</t>
  </si>
  <si>
    <t>Хидрантска мрежa :</t>
  </si>
  <si>
    <t>Набавка и монтажа на топчести вентили со испуст за вертикалите</t>
  </si>
  <si>
    <t xml:space="preserve">Ø2“ (пред хидрантите) </t>
  </si>
  <si>
    <t>Набавка, транспорт и монтажа на уѕидни хидранти, комплет со тревира црево Ø52mm долго 20м, млазница,кос вентил Ø2" и универзален клуч за пожарникарски спојки. Хидрантот е сместен во  метално ормарче за хидранти 50/50/15  офарбано со бела боја,централно застаклено, на висина од 1,5м (висина на вентил) од подот и видно обележани со ознака за хидрант.</t>
  </si>
  <si>
    <t xml:space="preserve">ПХ Ø2"  </t>
  </si>
  <si>
    <t>Чистење, испирање на водоводната мрежа према технички прописи.</t>
  </si>
  <si>
    <t>Испитување на пропустливост на водоводната мрежа према  технички прописи.</t>
  </si>
  <si>
    <t>*тестирањето се врши согласно Технички опис - ТЕСТИРАЊЕ</t>
  </si>
  <si>
    <t>Фекална канализација :</t>
  </si>
  <si>
    <t>Набавка, транспорт и монтажа на фекални pvc канализациони  цевки, комплет со фазонски парчиња (+30% од цената на цевките) за продолжување на постоечките канализациони вертикали  од санитариите во објектот на ниво -1.. Цeвките да се без дoдатоци на средства за полнење, да одговараат наевропските DIN стандардите . Цевките да се причврстат за конструкцијата од објектот со шелни со гумен прстен во се према препораките од производителот.</t>
  </si>
  <si>
    <t>Вертикали</t>
  </si>
  <si>
    <t>Ø110mm
(2*4.5)</t>
  </si>
  <si>
    <t>Набавка,транспорт и монтажа на пластични вентилациони капи</t>
  </si>
  <si>
    <t xml:space="preserve"> Ø160mm</t>
  </si>
  <si>
    <t>Р Е К А П И Т У Л А Ц И Ј А-ВНАТРЕШНИ ИНСТАЛАЦИИ</t>
  </si>
  <si>
    <t>Хидранска мрежа</t>
  </si>
  <si>
    <t>Фекална канализација</t>
  </si>
  <si>
    <t>13</t>
  </si>
  <si>
    <t xml:space="preserve">ВКУПЕН РЕКАПИТУЛАР </t>
  </si>
  <si>
    <t>ден.</t>
  </si>
  <si>
    <t>ЕЛЕКТРИЧНИ ИНСТАЛАЦИИ</t>
  </si>
  <si>
    <t>ТЕРМОТЕХНИЧКИ ИНСТАЛАЦИИ</t>
  </si>
  <si>
    <t>НАДВОРЕШНИ ХИДРОТЕХНИЧКИ ИНСТАЛАЦИИ</t>
  </si>
  <si>
    <t>ВНАТРЕШНИ ХИДРОТЕХНИЧКИ ИНСТАЛАЦИИ</t>
  </si>
  <si>
    <t>ОСНОВЕН ПРОЕКТ ЗА НАДГРАДБА НА ПОСТОЕЧКИ ОБЈЕКТ 1.3 И 1.4 И ИЗГРАДБА НА ОБЈЕКТ 1.7 ЗА ПОТРЕБИТЕ НА ШПЕДИЦИИТЕ на КП2716, КП2717 КО Радожда, (АУП за комплекс градби во ГП1.1 со намена Е2-комунална супраструктура – граничен премин Ќафасан, во УПВНМ), Општина Струга</t>
  </si>
  <si>
    <t>- објект со влезен подест и скали</t>
  </si>
  <si>
    <t>- скали и рампа кон платформа меѓу објекти</t>
  </si>
  <si>
    <t>под темели на скали и рампа кон платформа меѓу објекти d=50cm</t>
  </si>
  <si>
    <t>под плоча на скали и рампа кон платформа меѓу објекти</t>
  </si>
  <si>
    <t>2.4</t>
  </si>
  <si>
    <t>Набавка, транспорт и вградување на мешовит материјал од ископ под плоча на  скали и рампа кон платформа меѓу објектите, во слоеви од 20-30cm.</t>
  </si>
  <si>
    <t xml:space="preserve">-објект </t>
  </si>
  <si>
    <t>-подест на скали</t>
  </si>
  <si>
    <t>-подест и скали</t>
  </si>
  <si>
    <t>7.3</t>
  </si>
  <si>
    <t>Изведба на облоги  од огнотпорни плочи  во два слоја 2x15mm, исполна од камена волна 2x5cm λ≤0.038 W/mK, на челична конструкција.
Цената да вклучува бандажирање на сите споеви, китирање и глетување на споевите. Пресметка по m² готови облоги.</t>
  </si>
  <si>
    <t xml:space="preserve">Изработка на спуштен плафон од гипскартонски плочи 12,5mm на метална потконструкција, комплет со поставување на термоизолација од минерална волна со дебелина 7cm λ≤0.038 W/mK и парна брана од долната страна.
Пресметка по m² готов плафон. Цената да вклучува бандажирање на сите споеви, китирање и глетување на споевите.
Комлет со изведба на отвор 60 х 60cm за ревизија на кров.
</t>
  </si>
  <si>
    <t xml:space="preserve">Сите позиции вклучуваат набавка транспорт и монтажа на надворешна/внатрешна столарија/браварија, комплет со потребниот споен материјал, китирање, исполнување со пурпена, оков, брава, клуч, спремно за употреба -  според позиции во приложена шема на браварија/столарија, доколку не е поинаку назначено/дополнето.
За сите позиции потконструкцијата за монтажа на профилите, како и потконструкцијата за укрутување на браваријата е влезена во цената.
Боја по избор на инвеститорот. 
Комплетната браварија да се достави на објект финално обработена, со вградено стакло и оков и заштитена со пластична фолија. Задолжително вградување на дихт-траки и покривни лајсни. Монтирање по завршување на грубите работи. 
Дадените димензии се ѕидарска мерка. 
Сите позиции, мерки и количини да се проверат на лице место. 
</t>
  </si>
  <si>
    <r>
      <t>Прозори од алуминиумски профили со прекинат термички мост  Uf≤1,4W/m²K, елоксирани во сребрена боја.
Застаклени со двослоен стакло-пакет 6+16+4, нискоемисионо стакло. Uw</t>
    </r>
    <r>
      <rPr>
        <sz val="10"/>
        <rFont val="Calibri"/>
        <family val="2"/>
      </rPr>
      <t>≤</t>
    </r>
    <r>
      <rPr>
        <sz val="10"/>
        <rFont val="Arial"/>
        <family val="2"/>
        <charset val="204"/>
      </rPr>
      <t>1,4W/m</t>
    </r>
    <r>
      <rPr>
        <sz val="10"/>
        <rFont val="Arial"/>
        <family val="2"/>
      </rPr>
      <t>²</t>
    </r>
    <r>
      <rPr>
        <sz val="10"/>
        <rFont val="Arial"/>
        <family val="2"/>
        <charset val="204"/>
      </rPr>
      <t>K.
Оков прва класа</t>
    </r>
  </si>
  <si>
    <t xml:space="preserve">W2 - еднокрилен прозор 120/130cm </t>
  </si>
  <si>
    <t>D1 - 150/220cm - надворешна двокрилна влезна врата</t>
  </si>
  <si>
    <t xml:space="preserve">P1 - канцелариски стаклен портал со шалтери и врати 1148,5/275cm </t>
  </si>
  <si>
    <t xml:space="preserve">P2 - канцелариски стаклен портал со шалтери и врати 547,5,5/275cm </t>
  </si>
  <si>
    <t xml:space="preserve">P3 - канцелариски стаклен портал со шалтери и врати 267,5/275cm </t>
  </si>
  <si>
    <t xml:space="preserve">P4 - канцелариски стаклен портал со шалтери и врати 267,5/275cm </t>
  </si>
  <si>
    <t xml:space="preserve">P5 - канцелариски стаклен портал со шалтери и врати 304/275cm </t>
  </si>
  <si>
    <t xml:space="preserve">P6 - канцелариски стаклен портал со шалтери и врати 284/275cm </t>
  </si>
  <si>
    <t>Рушење на бетонски скали за пристап до влезен подест постоечки објект за царински постапки, комплет со темелна конструкција.</t>
  </si>
  <si>
    <t>ширина на крак 185cm, должина 70cm
скалници: 3 висини x 15cm, 2 ширини x 30cm</t>
  </si>
  <si>
    <t>1.6</t>
  </si>
  <si>
    <t>согласно спецификација од градежно - конструктивен проект</t>
  </si>
  <si>
    <t xml:space="preserve">P7 - канцелариски стаклен портал со шалтери и врати 230/275cm </t>
  </si>
  <si>
    <t xml:space="preserve">- ограда на скали </t>
  </si>
  <si>
    <t>вертикали и ракохват профил Ø48,3..3mm -   вк.тежина 19,64 kg</t>
  </si>
  <si>
    <t>исполна хоризонтали x3, профил Ø33,7..3mm,  вк.тежина 40,37kg</t>
  </si>
  <si>
    <t>анкер плочка 150.150.6mm -  вкупно 5 парчиња,  вк.тежина 7,2 kg</t>
  </si>
  <si>
    <t>анкер шрафови M6 / 50 - вкупно 20 пар.</t>
  </si>
  <si>
    <t>- ограда на пристапни скали и рампа за постоечка платформа</t>
  </si>
  <si>
    <t>вертикали и ракохват профил Ø48,3..3mm -   вк.тежина 84,17 kg</t>
  </si>
  <si>
    <t>исполна хоризонтали x3, профил Ø33,7..3mm,  вк.тежина 204,96kg</t>
  </si>
  <si>
    <t>анкер плочка 150.150.6mm -  вкупно 18 парчиња,  вк.тежина 25,95 kg</t>
  </si>
  <si>
    <t>анкер шрафови M6 / 50 - вкупно 72 пар.</t>
  </si>
  <si>
    <t>11.2</t>
  </si>
  <si>
    <t>Набавка, транспорт и монтажа на челични L профили 100.70.3 мм, прицврстени на АБ плочи на од двете страни на дилатацијата меѓу постоечката и новата АБ плоча, комплет со споен материјал, штрафови, и сл.</t>
  </si>
  <si>
    <t>L=1500cm x 2</t>
  </si>
  <si>
    <t>11.3</t>
  </si>
  <si>
    <t>Набавка, транспорт и монтажа на челични скали за пристап на кров, од челични профили двојно минизирани и боени, согласно детал, комплет со споен материјал, штрафови, и сл.</t>
  </si>
  <si>
    <t>h=4,50m (до подест)</t>
  </si>
  <si>
    <t xml:space="preserve">Работите да се изведат во се според цртежите, техничкиот опис, предмерот, статичката пресметка, деталите, важечките технички прописи и упатствата од надзорниот орган и производителот / добавувачот, стручно и прецизно. Материјалите кои се вградуваат мора да бидат квалитетни и да одговараат на техничките прописи и стандарди. 
Во единечната цена да се опфати мерење на сите позиции на лице место, сите припремни работи во работилница, набавка и складирање на материјалот и разнесување на истиот до место на вградување, сите потребни скелиња, изработка и монтажа на сите позиции, чистење на отпадоци од лим и друг материјал, како и трошоци за изработка на примероци за одредени позиции. 
Сите пластифицирани лимови се во RAL боја усогласена со RAL бојата на фасада каде што се монтираат. Сите споеви по цела должина се китираат со двокомпонентен трајноеластичен кит во боја на лимот.
</t>
  </si>
  <si>
    <t>олук 10/10cm, РШ 40cm (настрешница помеѓу објекти)</t>
  </si>
  <si>
    <t>- опшивка на атика / калкански ѕидови
РШ 40cm</t>
  </si>
  <si>
    <t>- опшивка на спој на кровен покривач со фасаден ѕид во оска C
РШ 55cm</t>
  </si>
  <si>
    <t>- опшивка на спој на кровен покривач со атика
РШ 55cm</t>
  </si>
  <si>
    <t>- опшивка на спој на кров на настрешница со фасаден панел
РШ 50cm</t>
  </si>
  <si>
    <t>- опшивка на спој на кров на настрешница со фасаден панел оод постоечки и нов објект (настрешница меѓу нов и стар објект)
РШ 50cm</t>
  </si>
  <si>
    <t>Набавка, транспорт и монтажа на под од нелизгачки плочки од вештачки гранит d=8mm, I класа, со соодветно лепило за плочки врз цементна кошулка, редени без фуга.</t>
  </si>
  <si>
    <t>Набавка, транспорт и монтажа на алуминиумско цокле h=6cm на спој под/ѕид.</t>
  </si>
  <si>
    <t>Поставување на претходно отстранети бекатон плочки d=6см - санација на дел од постоечко плато - по завршување на градбата, комплет со слој од песок 4-5cm и слој од набиен тампон д=20cm</t>
  </si>
  <si>
    <t>Набавка, транспорт и монтажа на прозорник од вештачки гранит d=20mm, широчина 20cm, комплет со потребниот споен материјал и китирање на споеви со трајноеластичен кит. 
Боја по избор на инвеститорот.
Пресметка по m' монтиран парапет.</t>
  </si>
  <si>
    <t>15.4</t>
  </si>
  <si>
    <t>15.5</t>
  </si>
  <si>
    <t>Набавка, транспорт и монтажа на канал / олук 3/3cm од пластифициран лим д=0,6мм за водење на конденз од надворешни единици за климартизација до олук, поставен на висина на цокле, под фасаден панел.</t>
  </si>
  <si>
    <t>15.6</t>
  </si>
  <si>
    <t xml:space="preserve">ОСНОВЕН ПРОЕКТ ЗА НАДГРАДБА НА ПОСТОЕЧКИ ОБЈЕКТ 1.3 И 1.4 И ИЗГРАДБА НА ОБЈЕКТ 1.7
ЗА ПОТРЕБИТЕ НА ШПЕДИЦИИТЕ НА КП2716, КП2717 КО РАДОЖДА, (АУП ЗА КОМПЛЕКС ГРАДБИ ВО ГП1.1 СО НАМЕНА Е2-КОМУНАЛНА СУПРАСТРУКТУРА – ГРАНИЧЕН ПРЕМИН ЌАФАСАН, ВО УПВНМ), ОПШТИНА СТРУГA
</t>
  </si>
  <si>
    <t xml:space="preserve"> одводник за пренапон 0.4kV тип 2 ( превземена заштита од проект Подобрување на објектите за царински постапки и контрола на патниот ГП Ќафасан, сите пресметки се дадени во истиот )</t>
  </si>
  <si>
    <t xml:space="preserve">Набавка, испорака и монтажа на напојни кабли од РТ 3 за Разводните табли општа намена. НАПОМЕНА: РТ -3 не е предмет на овој проект, и за напојување од РТ -3 потребно е да се предвидат напојни кабли, истите не се дадени во овој проект, кабелот 5х6мм2 се предвидува само ако не е доставен со друг предмер или друг проект, во спротивно количината да се изостави.  </t>
  </si>
  <si>
    <t xml:space="preserve">Испитување на кaбел  NYY-ј 5х6мм2 за испарвност во случај да одредена количина на кабел не е исправна или комплетниот кабел да се продолжи со ставката 3.2 набавка на одредената количина. </t>
  </si>
  <si>
    <t xml:space="preserve">Поставување на гребенаста склопка со кутија и стаклена површина, ( скрши стакло ), за исклучување  на АС склопка која се наога во РТ-3 ормар и не е во овој дел од проектот.  Се поставува позицијата само ако истата не е изведена со предходниот проект. </t>
  </si>
  <si>
    <t xml:space="preserve">ЛЕД светилка за во канцеларии 600х600, не повеќе од 46W, не помалку од 4000 lm, приближно 3000K, ефикасност од 86.9 lm/W, карактеристика на светилка иста или подобра од специфицраната светилка во пресметката.  </t>
  </si>
  <si>
    <t xml:space="preserve">Рефлекторска ЛЕД светилка, 38W, за над рампи и врати со заштита ИП 65 за надворешна монтажа, ефикасност од 86.9 lm/W, карактеристика на светилка иста или подобра од специфицраната светилка во пресметката.  
</t>
  </si>
  <si>
    <t>Поцинкувана FeZn 25х4мм трака од темелен заземјувач до РТ-3 за заземјување со комплет спојна опрема, вкрсно парче премачкано со битумен после спојување во темели на објект и до секоја разводна табла.</t>
  </si>
  <si>
    <t xml:space="preserve">ПП Централа можност на поврзување на 1 картици ( модули )  и излез за сигнално пано на предната страна, 
• Во секоја зона може да се поврзат до 32 уреди
• Влез за детектори за гас од 4 – 20 mA
• Рачно препознавање на повик точка
• Сигнали недостасуваат детектори
• 2 надгледувани, премолчувани, заобиколни 24 V
излез за аларм за звучници
• Надгледуван излез на пожар за телефонски бирач
активирање
• Програмабилен излез со отворен колектор
• Ден/ноќен режим
• Време за проверка на алармот
• Програмабилни времиња на реставрација и ресетирање
• Може да се програмира од компјутер или тастатура
• 50 дневници за настани прегледани преку компјутер
• Меморијата за аларм/дефект е активирана до следното ресетирање
• Команда за замолчување на сирените
• Командите на тастатурата бараат клуч или пин-код
</t>
  </si>
  <si>
    <t xml:space="preserve">Подножје за детектор за пожар,согласно  
</t>
  </si>
  <si>
    <t xml:space="preserve"> Изведба на надворешен ПП водовод од постоечка водоводна шахта </t>
  </si>
  <si>
    <t xml:space="preserve">Обележување и исколчување на каналскиот ров по прописи за земјани маси 
</t>
  </si>
  <si>
    <t xml:space="preserve">Демонтирање на бехатон елементи  со одлагање во непосредна близина за повторно монтирање
</t>
  </si>
  <si>
    <r>
      <t>m</t>
    </r>
    <r>
      <rPr>
        <vertAlign val="superscript"/>
        <sz val="10"/>
        <rFont val="Verdana"/>
        <family val="2"/>
      </rPr>
      <t>2</t>
    </r>
  </si>
  <si>
    <t xml:space="preserve">Машински ископ во претходно набиен тампон и земја (со рачен докоп 20%)на ров за полагање на водоводни цевки, ровот да се ископа со соодветна длабочина и широчина од 80см, како и одлагање на материјалот покрај работ на ровот                                                       </t>
  </si>
  <si>
    <t>11.3*0.8*1.2+1*1*1</t>
  </si>
  <si>
    <t>Фино планирање на дно на ровот со точност од ±2см</t>
  </si>
  <si>
    <t>11.3*0.8</t>
  </si>
  <si>
    <t xml:space="preserve">Набавка, транспорт и полагање на ситен сепариран песок на дно на ров со д=10см. </t>
  </si>
  <si>
    <t>11.3*0.8*0.1+1*1*0.1</t>
  </si>
  <si>
    <t xml:space="preserve">Набавка,транспорт и затрпување на рововите со ситен песок до 30см.над цевката со влажнење и рачно набивање.  . </t>
  </si>
  <si>
    <t>11.3*0.8*0.45-5*0.035*0.035*3.14+1*1*.45</t>
  </si>
  <si>
    <t>Затрпување на рововите со ископаниот материјал во слоеви од  по 20-30см. со влажнење и набивање. Првиот слој да се затрпа со селективен материјал без камења и шут со рачно набивање, а останатиот дел да се затрпа и набие машински.</t>
  </si>
  <si>
    <t>Поставување на демонтираните бехатон елементи на подлога од песок</t>
  </si>
  <si>
    <t>Набавка, транспорт и монтажа на полиетиленски водоводни ПЕ100 RC NP 10 цевки комплет со челно заварување</t>
  </si>
  <si>
    <t xml:space="preserve">DN75
</t>
  </si>
  <si>
    <t>Набавка, транспорт и монтажа на  фазонски парчиња комплет со спојни парчиња и споен материјал</t>
  </si>
  <si>
    <t>T  DN65</t>
  </si>
  <si>
    <t xml:space="preserve">пар.
</t>
  </si>
  <si>
    <t>"OZ"  со УГ NP10 DN65</t>
  </si>
  <si>
    <t>ПЕ спојка со прирабница</t>
  </si>
  <si>
    <t>Q лак од 90° DN65</t>
  </si>
  <si>
    <t>N  DN65</t>
  </si>
  <si>
    <t>ZP со отвор  DN65</t>
  </si>
  <si>
    <t>вкупно</t>
  </si>
  <si>
    <t>од табеларен преглед</t>
  </si>
  <si>
    <t>Машински ископ во претходно набиен тампон и земја (со рачен докоп 30%)на ров за полагање на атмосферските цевки, со подградување, ровот да се ископа со соодветна длабочина и широчина од 0.8 - 1.0м,и просечна висина 1.26м ,со одлагање на ископаниот материјал на 1,0м покрај работ на ровот. Во цената да се вклучи разупирање на ров за длабочини поголеми од 1.0m.</t>
  </si>
  <si>
    <t>6*3*3*1.33</t>
  </si>
  <si>
    <t>6*3*3*0.1</t>
  </si>
  <si>
    <t>97.1*0.8*0.3-97.1*0.08*0.08*3.14</t>
  </si>
  <si>
    <t>Затрпување на рововите со ископаниот материјал со влажнење и набивање. Првиот слој да се затрпа со селективен материјал без камења и шут со рачно набивање, а останатиот дел да се затрпа и набие машински.</t>
  </si>
  <si>
    <t>(1.1*1.1-0.3*0.3*3.14)*0.15*6</t>
  </si>
  <si>
    <t>Ø200
(11.7)</t>
  </si>
  <si>
    <t>Ø160
(17.35+9.7+15+25+5)</t>
  </si>
  <si>
    <t>Ø125 
(2*4.95+10.75+4.50+2*1.15)</t>
  </si>
  <si>
    <t>Ø110
(2.2)</t>
  </si>
  <si>
    <t xml:space="preserve">Набавка транспорт и монтажа на ПП шахти, составени од конус, среден дел и дно, изработени од 100% полипропилен според ДИН ЕН 1852 со компактни ѕидови појачани со ребра за укрутување, со нормална крутост на елементите, со фабрички вградени качувалки и кинета од полипропилен. Средна длабочина на шахтите е Н=1.33м     </t>
  </si>
  <si>
    <t>Ø800 до h=1.50m</t>
  </si>
  <si>
    <t xml:space="preserve">Изработка подлога за шахтите со посен бетон МБ20 со димензии 1.50*1.50m и дебелина 0.15m, </t>
  </si>
  <si>
    <t>Ø150</t>
  </si>
  <si>
    <t>Ø200</t>
  </si>
  <si>
    <t>Набавка, транспорт и монтажа на челични поцинковани дебелоѕидни водоводни цевки  за хидрантска вода за хоризонтални и   вертикални разводи со сите потребни фитинзи и прицврстувања. Земено со сите потребни пробиви во ѕидови и плочи.Цевките кои се водат воздушно термички да се изолираат со термоизолација од камена волна со d=5мм во внатрешните простории и  d=14мм во надворешниот пробив.</t>
  </si>
  <si>
    <t>Ø2 1/2" 
(1.85+1+.6+2.55+.8)</t>
  </si>
  <si>
    <t>Ø2" 
(1.15+16.7+1.15)</t>
  </si>
  <si>
    <t>3.6</t>
  </si>
  <si>
    <t>3.7</t>
  </si>
  <si>
    <t>Чистење на објектот по завршување на работите, од градежен шут, со утовар и транспорт до овластена депонија (по избор на изведувачот, во консултација со надзорот).
 - цел објект, два пати</t>
  </si>
  <si>
    <t>11.1</t>
  </si>
  <si>
    <t>Термотехнички инсталации</t>
  </si>
  <si>
    <t>Ед. Цена</t>
  </si>
  <si>
    <t>Вк. Цена</t>
  </si>
  <si>
    <t>Количина</t>
  </si>
  <si>
    <t>ВКУПНО (без ДДВ18%)</t>
  </si>
  <si>
    <t>ВКУПНО (без ДДВ 18%) ден :</t>
  </si>
  <si>
    <t xml:space="preserve">Кровот, фасадата и преградните ѕидови од сендвич панели да се предвидат како системско решение од избран производител, комплет со сите потребни опшивки, споен, потрошен материјал, китирање и слично, 'спремно за употреба'.  Да се приложат потребните сертификати за технички карактеристики на панелот. 
Цената да вклучува потребен споен материјал, потребни опшивки, китирање и сл., во се согласно насоките на производителот на панелите.
</t>
  </si>
  <si>
    <t xml:space="preserve">Набавка, транспорт и вградување на кровни сендвич панели d = 100мм, со  челичeн поцинкуван лим д=0.6/0.4 мм (завршно обработени со полиестер боја) и исполна од минерална волна  λ≤0.039 W/mK, класа А2-s1,d0 - незапалив, не шири пламен, не ослободува дим, не ослободува честички), со огноотпорност од 2 часа. Висина на ребро min. 37cm. Боја RAL 9006. 
Цената да вклучува потребено скеле, потребен споен материјал и саморезачки шрафови, потребни опшивки, китирање и сл. 
Пад на кровната површина: 10% (исток) и 17% (запад)
Пресметка по коса површина. 
Изведба согласно детали и упатство од избраниот производител. 
</t>
  </si>
  <si>
    <t xml:space="preserve">Набавка, транспорт и вградување на кровни сендвич панели d = 50мм, со  челичeн поцинкуван лим д=0.6/0.4 мм (завршно обработени со полиестер боја) и исполна од минерална волна  λ≤0.039 W/mK, класа А2-s1,d0 - незапалив, не шири пламен, не ослободува дим, не ослободува честички), со огноотпорност од 2 часа. Боја RAL 9006. 
Цената да вклучува потребено скеле, потребен споен материјал и саморезачки шрафови, потребни опшивки, китирање и сл.  Пресметка по коса површина. Изведба согласно детали и упатство од избраниот производител. 
- покривање на натстреа меѓу постоечки и нов објект
</t>
  </si>
  <si>
    <t xml:space="preserve">Oбработка на бетонско цокле со топлотна изолација од XPS d=5cm, лепена на подлога со соодветно градежно лепило, заштитен слој од армиран малтер во два слоја со поставување на фиберглас (стаклена) мрежа. Завршен слој од силикатен премаз. Позицијата вклучува вградување на аголни лајсни. 
</t>
  </si>
  <si>
    <t xml:space="preserve">Набавка, транспорт и вградување на фасаден сендвич панел d = 100мм, со  челичeн поцинкуван лим д=0.6/0.4 мм (завршно обработени со полиестер боја) и исполна од минерална волна  λ≤0.039 W/mK, класа А2-s1,d0 - незапалив, не шири пламен, не ослободува дим, не ослободува честички), со огноотпорност од 2 часа. Боја RAL 9006. 
Цената да вклучува потребено скеле, потребен споен материјал и саморезачки шрафови, потребни опшивки, китирање и сл., во се согласно насоките на производителот на панелите.
Пресметка по m² готова фасада. 
Напомена: Во пресметаните количини се одбиени сите фасадни отвори.
</t>
  </si>
  <si>
    <t xml:space="preserve">Набавка, транспорт и монтажа на двокомпонентна хидроизолација на база на цемент, во 3 слоја од надворешна страна на темелните парапетни ѕидови. Пресметка по m² обработена површина. 
Подлогите на кои се изведуваат хидроизолациите на база на цемент треба да бидат претходно исчистени, обезмастени и обеспрашени, а евентуални пукнатини и нерамнини да се поправат со репаратур малтер. Секој нареден слој се изведува врз претходно исушен слој, во се според упатствата на произведувачот на изолацијата. 
</t>
  </si>
  <si>
    <t xml:space="preserve">Проект: Преглед на постоечка состојба на граничните премини Деве Баир и Ќафасан и изработка на техничка документација–проекти за реконструкција и/или надградба на објектите и инфраструктурата
</t>
  </si>
  <si>
    <t xml:space="preserve">ОСНОВЕН ПРОЕКТ ЗА НАДГРАДБА НА ПОСТОЕЧКИ ОБЈЕКТ 1.3 И 1.4 И ИЗГРАДБА НА ОБЈЕКТ 1.7 ЗА ПОТРЕБИТЕ НА ШПЕДИЦИИТЕ на КП2716, КП2717 КО Радожда, (АУП за комплекс градби во ГП1.1 со намена Е2-комунална супраструктура – граничен премин Ќафасан, во УПВНМ), Општина Струга
</t>
  </si>
  <si>
    <t xml:space="preserve">Во сите позиции на припремни работи, демонтажа и рушење и градежно занаетчиски работи не се влезени евентуалните градежни интервенции произлезени од поставување на нови и надградба на постоечките инсталации во објектот. Соодветните позиции (доколку ги има) ќе се третираат во предмерите на соодветните фази.
</t>
  </si>
  <si>
    <t xml:space="preserve">Обележување на градбата
Пред почеток на ископ Изведувачот е должен точно да ја означи позицијата на било кој конструктивен или архитектонски елемент релевантен за оваа фаза на Изведување на работите.
Изведувачот е должен да се осигура и ги потврди референтните реперни точки и ќе продолжи со работите откако физички ќе ги провери сите нивоа, димензии и информации според Проектната документација.
</t>
  </si>
  <si>
    <t xml:space="preserve">Сите позиции од предмерот подразбираат изведба на секоја позиција од работите во се според цртежите, техничкиот опис, предмерот, статичката пресметка, деталите и упатствата од надзорниот орган. Материјалите кои се вградуваат мора да бидат квалитетни и да одговараат на техничките прописи и стандарди.
</t>
  </si>
  <si>
    <t xml:space="preserve">Сите позиции вклучуваат набавка, транспорт и вградување на бетонот со употреба на вибратор, потребна оплата и скеле, грижа и одржување на бетонот по бетонирање.
</t>
  </si>
  <si>
    <t xml:space="preserve">Пред почетокот на работите изведувачот треба да изработи Проект за бетон во кој ќе бидат дефинирани рецептурата, начинот на изработка, транспорт, вградување и нега на бетонот како и постапката за претходни и контролни испитувања на неговиот квалитет и квалитетот на арматурата. 
</t>
  </si>
  <si>
    <t xml:space="preserve">Пред започнување со работа, отворите за инсталации во ѕидовите и плочите да се усогласат со набавувачот на опремата и надзорот.
</t>
  </si>
  <si>
    <t xml:space="preserve">Напомена: Пред бетонирање отворите низ плочите да се усогласат со останатите проектни фази.
Обработка на површината на бетонот согласно типот на завршен под.
Армирањето се врши согласно градежно-конструктивен проект и е пресметано во армирачки работи.
Дилатациите за контрола на пукнатини (работните дилатации) се засекуваат до 1/3 од дебелината на плочата.
На работните прекини (трајни дилатации) обавезно е вградување на метална оплата.
Парапетните ѕидови и столбовите се дилатираат со поставување на EPS или XPS сунѓереста трака 1-2cm.
Во цената да се опфати:
- набавка, транспорт и вградување на бетон 
- изработка на сите потребни оплати на дневните прекини на бетонирање, како и на местата на евентуалните продори
- изработка на работни дилатации и фугирање со соодветен материјал.
</t>
  </si>
  <si>
    <t xml:space="preserve">Набавка, исправување чистење, сечење, виткање, пренос, поставување и врзување на арматурата за сите АБ елементи во објектот, согласно спецификацијата од статичката пресметка и арматурните детали.
Единечната цена да опфаќа и поставување на дистанцери помеѓу две зони, како и дистанцери од оплата. 
Количините се пресметани со 3% растур на материјалот.
</t>
  </si>
  <si>
    <t xml:space="preserve">Набавка, транспорт и поставување на декоративна маска на надворешни единици за климатизација
</t>
  </si>
  <si>
    <t>Набавка, транспорт и монтажа на PP-HM коругирани канализациони цевки  класа SN8 за улична канализација, комплет со сите фитинзи, спојни елементи и заптивни материјали, монтирани во претходно изработени ровови врз подлога од песок. Цевките да се согласно DIN16961 и prEN 13476-3 и градежна изведба DIN EN 1610 . Монтажата да се изведе согласно прописите со претходно исчистени жлебови и поставување на гумени прстени. Земено со сите потребни пробиви во ѕидови и плочи.</t>
  </si>
  <si>
    <t xml:space="preserve">Изработка на приклучоци за  надворешна атмосферска канализација во постоечки ревизиони шахти со PP-HM коругирани цевки комплет со споен материјал </t>
  </si>
  <si>
    <t>Испитување на пропустливост на пожарни хидранти од страна на овластено правно лице</t>
  </si>
  <si>
    <t xml:space="preserve">W1 - двокрилен прозор 210/130cm </t>
  </si>
  <si>
    <t>ОПШТИ НАПОМЕНИ</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</si>
  <si>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</si>
  <si>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 xml:space="preserve">Сите позиции од предмерот подразбираат изведба на секоја позицира од работите во сѐ според цртежите, техничкиот опис, предмерот, статичката пресметка, деталите и упатствата од надзорниот орган. Материјалите кои се вградуваат мора да бидат квалитетни и да одговараат на техничките прописи и стандарди. Сите вградени позиции и системи се комплетни и спремни за употреба.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</si>
  <si>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</si>
  <si>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 xml:space="preserve">Пред изведба на работите Изведувачот е задолжен да направи увид на лице место. При изведба на работите да се проверат сите референтни мерки на постоечките објекти. Доколку во тек на градба затекнатата состојба на постоечките објекти се разликува од проектната документација, да се усогласат засегнатите позиции.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</si>
  <si>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</si>
  <si>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Инвеститорот/Крајниот корисник/Општината.                                                                                                                                               </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</si>
  <si>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</si>
  <si>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</si>
  <si>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</si>
  <si>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</si>
  <si>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Изведувачот има обврска на сопствен трошок да изврши набавка, транспорт и поставување на информативна табла изработена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Инвеститорот.Таблата треба да биде изработена од цврст материјал со минимална димензија 150х200см.</t>
  </si>
  <si>
    <t>Изведувачот има обврска на сопствен трошок да обезбеди услови за непречена работа на надзорниор орган (канцелариски простор со минимум површина на работен простор 6 м²; со клима уред, работна маса, столче)</t>
  </si>
  <si>
    <r>
      <t xml:space="preserve">Изведба на </t>
    </r>
    <r>
      <rPr>
        <b/>
        <sz val="10"/>
        <rFont val="Arial"/>
        <family val="2"/>
        <charset val="204"/>
      </rPr>
      <t>цементна кошулка</t>
    </r>
    <r>
      <rPr>
        <sz val="10"/>
        <rFont val="Arial"/>
        <family val="2"/>
        <charset val="204"/>
      </rPr>
      <t xml:space="preserve"> д=5cm с</t>
    </r>
    <r>
      <rPr>
        <sz val="10"/>
        <rFont val="Arial"/>
        <family val="2"/>
      </rPr>
      <t>о додаток на фибер влакна ка</t>
    </r>
    <r>
      <rPr>
        <sz val="10"/>
        <rFont val="Arial"/>
        <family val="2"/>
        <charset val="204"/>
      </rPr>
      <t xml:space="preserve">ко подлога за плочки од вештачки гранит. 
Да се изведат дилатации на секои 16-20м2, и кон обемните ѕидови.
Дебелината на кошулката да се усогласи со типот и дебелината на завршна обработка на подот - да се усогласи со нивото на под на постоечката кровна тераса.
Пресметка по m² вграден материјал.
</t>
    </r>
  </si>
  <si>
    <t>13.3</t>
  </si>
  <si>
    <t>13.5</t>
  </si>
  <si>
    <t>- подест на главен влез</t>
  </si>
  <si>
    <t>- подест и рампа за платформа (меѓу нов и постоечки објект)</t>
  </si>
  <si>
    <t>- скали на главен влез:</t>
  </si>
  <si>
    <t>- пристапни скали (меѓу нов и постоечки објект):</t>
  </si>
  <si>
    <t>15.7</t>
  </si>
  <si>
    <t>Бетонирање на АБ подна плоча d=15cm,  МБ30. во потребната оплата, со додаток за водонепропустливост</t>
  </si>
  <si>
    <t>Бетонирање на АБ лентовиден темел, MБ30, b/h=60/40cm, со додаток за водонепропустливост</t>
  </si>
  <si>
    <t xml:space="preserve">Отстранување на постоечка алуминиумска ограда на кровна тераса, транспорт и одложување на локација одредена од Инвеститорот/Надзорот, на оддалеченост не поголема од 10км. </t>
  </si>
  <si>
    <t>Набавка, транспорт и монтажа на челична конструкција, анкерувана во АБ конструкција.</t>
  </si>
  <si>
    <t>Позицијата вклучува и набавка, транспорт и вградување на заштита на челичната конструкција од корозија и пожар, да се постигне пожарна отпорност од 120 минути. Количина и дебелина на заштитниот слој да е согласно упатствата на избраниот производител.</t>
  </si>
  <si>
    <r>
      <t>Изведба на преграден ѕид d=12,5cm, од гипскартонски плочи на метална потконструкција - 75mm, двострано поставени плочи во два слоја 2x12,5mm, исполна од камена волна d=7,5cmm λ≤0.038 W/mK</t>
    </r>
    <r>
      <rPr>
        <sz val="10"/>
        <rFont val="Arial"/>
        <family val="2"/>
      </rPr>
      <t>. Со вградување на дихтунг траки на профилите од потконструкцијата при нејзино налегнување на армирано бетонската плоча и челичните профили од конструкцијата.</t>
    </r>
    <r>
      <rPr>
        <sz val="10"/>
        <rFont val="Arial"/>
        <family val="2"/>
        <charset val="204"/>
      </rPr>
      <t xml:space="preserve">
Цената да вклучува бандажирање на сите споеви, китирање и глетување на споевите,  поставување на профил за вградување на прозорци/врати.  Пресметка по m² готов ѕид. Отворите со површина до 1m² не се одбиваат за сметка на обработка на шпалетни и други продори кои не се пресметуваат посебно.</t>
    </r>
  </si>
  <si>
    <r>
      <t>Влезна врата од од алуминиумски профили со прекинат термички мост  Uf≤1,4W/m²K, елоксирани во сребрена боја, застаклени со двослоен стакло-пакет 6+16+4, нискоемисионо стакло. Ug</t>
    </r>
    <r>
      <rPr>
        <sz val="10"/>
        <rFont val="Calibri"/>
        <family val="2"/>
      </rPr>
      <t>≤</t>
    </r>
    <r>
      <rPr>
        <sz val="10"/>
        <rFont val="Arial"/>
        <family val="2"/>
        <charset val="204"/>
      </rPr>
      <t>1,4W/m</t>
    </r>
    <r>
      <rPr>
        <sz val="10"/>
        <rFont val="Arial"/>
        <family val="2"/>
      </rPr>
      <t>²</t>
    </r>
    <r>
      <rPr>
        <sz val="10"/>
        <rFont val="Arial"/>
        <family val="2"/>
        <charset val="204"/>
      </rPr>
      <t xml:space="preserve">K. 
Оков прва класа. 
Со панична рачка од внатрешна страна </t>
    </r>
    <r>
      <rPr>
        <sz val="10"/>
        <rFont val="Arial"/>
        <family val="2"/>
      </rPr>
      <t>и механизам за самозатворање.</t>
    </r>
  </si>
  <si>
    <t>D2 - 100/220cm 
Врата за евакуација со метална каса и врата, огноотпорност 60 минути, со панична рачка од внатрешна страна, со систем за закочување во отворена положба при евакуација</t>
  </si>
  <si>
    <t xml:space="preserve">Обложувањето на подовите и ѕидовите со керамика да се изведе со соодветно лепило за керамика. 
Типот на завршна подна  облога да е во согласност со намената на просторијата - да се усогласи со Инвеститорот / корисникот на објектот.                                                                             Димензијата, дезен и бојата на плочките е по избор на инвеститорот. 
Во цената е вклучено и обработка со силикон на споевите на ѕидови и подови, потребни аголни лајсни и сл. 
Единечната цена да вклучува и набавка, транспорт и вградување на материјал, потребен алат, чистење на работното место во тек и по завршување на работите.
</t>
  </si>
  <si>
    <t>Боење на фасада на цокле со силиконска фасадна боја. Боја по избор на Инвестирот.</t>
  </si>
  <si>
    <t>газиште 35/295cm</t>
  </si>
  <si>
    <t>чело 13,5/295cm</t>
  </si>
  <si>
    <t>газиште 35/196cm</t>
  </si>
  <si>
    <t>чело 15/196cm</t>
  </si>
  <si>
    <r>
      <t>Набавка, транспорт и монтажа на термоизолација од тврдопресуван експандиран полистирен со густина 25kg/m</t>
    </r>
    <r>
      <rPr>
        <sz val="10"/>
        <rFont val="Arial"/>
        <family val="2"/>
      </rPr>
      <t>³</t>
    </r>
    <r>
      <rPr>
        <sz val="10"/>
        <rFont val="Arial"/>
        <family val="2"/>
        <charset val="204"/>
      </rPr>
      <t xml:space="preserve"> над подна плоча (за усогласување на висината на готовиот под на новиот дел од објектот со подот на постоечката платформа)</t>
    </r>
  </si>
  <si>
    <r>
      <t>Стаклен портал од алуминиумски профили термоизолационен систем Uf≤1,4W/m²K, застаклени со двослоен стакло-пакет 6+16+4, Ug</t>
    </r>
    <r>
      <rPr>
        <sz val="10"/>
        <rFont val="Calibri"/>
        <family val="2"/>
      </rPr>
      <t>≤</t>
    </r>
    <r>
      <rPr>
        <sz val="10"/>
        <rFont val="Arial"/>
        <family val="2"/>
        <charset val="204"/>
      </rPr>
      <t>1,4W/m</t>
    </r>
    <r>
      <rPr>
        <sz val="10"/>
        <rFont val="Arial"/>
        <family val="2"/>
      </rPr>
      <t>²</t>
    </r>
    <r>
      <rPr>
        <sz val="10"/>
        <rFont val="Arial"/>
        <family val="2"/>
        <charset val="204"/>
      </rPr>
      <t xml:space="preserve">K, комплет со потребната потконструкција за монтажа  како и потконструкцијата за укрутување на браваријата. </t>
    </r>
    <r>
      <rPr>
        <sz val="10"/>
        <rFont val="Arial"/>
        <family val="2"/>
      </rPr>
      <t xml:space="preserve">Вратите од порталите да се со механизам за самозатворање. Со мат-стакло (пескарено од внатрешна страна на стакло-пакетот) согласно шема на столарија.
</t>
    </r>
  </si>
  <si>
    <t>Набавка, транспорт и монтажа на ограда на надворешна рампа и скали h=90cm, од двојно минизирани и боени челични профили, прицврстена во АБ плоча, согласно цртеж.
Kомплет со споен материјал, заварување, штрафови, и сл.
Боја по избор на инвеститорот.</t>
  </si>
  <si>
    <t>Набавка, транспорт и монтажа на кровен покривач од единечен ребраст пластифициран лим d=0,6mm, кај настрешница на влез, комплет со споен материјал и китирање. RAL боја усогласена со RAL бојата на кровните панели.</t>
  </si>
  <si>
    <t>Набавка, транспорт и монтажа на облога на долна и бочни страни на настрешница од алуминиумски композитен панел d=3mm, со потребна алуминиумска потконструкција, комплет со потребниот споен материјал, држачи, фасонски елементи, како систем од избран производител, спремно за употреба.
RAL боја усогласена со RAL бојата на фасада.</t>
  </si>
  <si>
    <t>Отстранување на постоечка подна облога на кровна тераса, од префабрикувани терацо плочки d=3cm, цементна кошулка со пад 5-10cm и ПЕ фолија и XPS 5cm, се до видлива АБ плоча од МКК на постоечкиот објект.
Позицијата вклучува транспорт и складирање на плочките  на локација одредена од Инвеститорот/Надзорот за повторна употреба.</t>
  </si>
  <si>
    <t>Транспорт и монтажа на под од префабрикувани терцо плочки d=3cm, претходно отстранети и складирани согласно позиција 1.2, на водоотпорен флексибилен лепак со минимални фуги не поголеми од 2мм, заедно со фугирање со водоотпорна фуга во соодветна боја.</t>
  </si>
  <si>
    <t>Набавка, транспорт и монтажа на газишта и чела на надворешни скали од вештачки гранит (дезен и боја како постоечки плочки од подести), со 
водоотпорен флексибилен лепак.</t>
  </si>
  <si>
    <t>Набавка, транспорт и монтажа на бришачи за чевли вградени во под, од алуминска рамка и кадичка од нерѓосувачки лим со вметнат гумен бришач. Димензии 60x120cm</t>
  </si>
  <si>
    <t>Вградената опрема за греење и ладење - инвертери да бидат со гаранција и сервисирање од најмалку пет години, сметано од денот на технички прием.</t>
  </si>
  <si>
    <t xml:space="preserve">Изведба на еднострани гипс-картонски облоги  од двојни гипс-картонски плочи 2x12,5mm, на метална потконструкција d=75mm, со исполна од камена волна d=7,5cmm λ≤0.038 W/mK,  и парна брана од внатрешната страна. Со вградување на дихтунг траки на профилите од потконструкцијата при нејзино налегнување на армирано бетонската плоча и челичните профили од конструкцијата.
Цената да вклучува бандажирање на сите споеви, китирање и глетување на споевите, поставување на профил за вградување на прозорци/врати. 
Пресметка по m² готовa облога. Отворите со површина до 1m² не се одбиваат за сметка на обработка на шпалетни и други продори кои не се пресметуваат посебно.
</t>
  </si>
  <si>
    <t>Набавка, транспорт и монтажа на декоративна алуминиумска лајсна за водење на црево од систем за климатицација  на внатрешна површина од фасаден ѕид (поврзување на внатрешни и надворешни единици). На место на пробив на цревата и цевките низ фасадниот ѕид да се вградат пвц цевка. Особено да се внимава бакарните цевки да не дојдат во контакт со гипс картонот и глет масата. PVC цевките да се исполнети со огноотпорна полиуретанска пена.</t>
  </si>
  <si>
    <t>ВКУПНО БЕЗ ДДВ</t>
  </si>
  <si>
    <t>1.7</t>
  </si>
  <si>
    <t>паушал</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</si>
  <si>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</si>
  <si>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</si>
  <si>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Изработка на сообраќаен проект за времена измена на режим за сообраќај.</t>
  </si>
  <si>
    <t xml:space="preserve">Изведувачот е одговорен за разработка на сообраќајни решенија за времена измена на режимот на сообраќај (изработка на основен проект за времена измена на режим на сообраќај) и негово спроведување  по добиени одобренија и согласности од надлежните институции (поставување и одржување на времено поставената сообраќајна сигнализација), при изведба на градежните активности.  Изведувачот е одговорен за управување на сообраќајот за време на изведување на работите, вклучително и по завршување на работното време, како и во периодот од завршување на градежните работи до примо-предавањето на објектот. </t>
  </si>
  <si>
    <t>ВКУПНО: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</si>
</sst>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quot;..&quot;"/>
    <numFmt numFmtId="165" formatCode="0.0"/>
    <numFmt numFmtId="166" formatCode="_-* #,##0.00\ _K_M_-;\-* #,##0.00\ _K_M_-;_-* &quot;-&quot;??\ _K_M_-;_-@_-"/>
    <numFmt numFmtId="167" formatCode="_-* #,##0.00\ _д_е_н_-;\-* #,##0.00\ _д_е_н_-;_-* &quot;-&quot;??\ _д_е_н_-;_-@_-"/>
    <numFmt numFmtId="168" formatCode="0.00;[Red]0.00"/>
  </numFmts>
  <fonts count="48">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04"/>
      <scheme val="minor"/>
    </font>
    <font>
      <b/>
      <sz val="10"/>
      <name val="Arial"/>
      <family val="2"/>
      <charset val="204"/>
    </font>
    <font>
      <sz val="10"/>
      <color theme="1"/>
      <name val="Arial"/>
      <family val="2"/>
      <charset val="204"/>
    </font>
    <font>
      <sz val="10"/>
      <name val="Arial"/>
      <family val="2"/>
      <charset val="204"/>
    </font>
    <font>
      <sz val="10"/>
      <name val="Arial"/>
      <family val="2"/>
      <charset val="238"/>
    </font>
    <font>
      <b/>
      <sz val="10"/>
      <color theme="1"/>
      <name val="Arial"/>
      <family val="2"/>
      <charset val="204"/>
    </font>
    <font>
      <sz val="10"/>
      <name val="Arial"/>
      <family val="2"/>
    </font>
    <font>
      <sz val="10"/>
      <color theme="1"/>
      <name val="Arial"/>
      <family val="2"/>
    </font>
    <font>
      <sz val="10"/>
      <name val="Arial CE"/>
    </font>
    <font>
      <b/>
      <sz val="10"/>
      <name val="Arial"/>
      <family val="2"/>
    </font>
    <font>
      <b/>
      <sz val="11"/>
      <color theme="1"/>
      <name val="Calibri"/>
      <family val="2"/>
      <scheme val="minor"/>
    </font>
    <font>
      <b/>
      <sz val="10"/>
      <color theme="1"/>
      <name val="Verdana"/>
      <family val="2"/>
    </font>
    <font>
      <b/>
      <sz val="11"/>
      <name val="Calibri"/>
      <family val="2"/>
      <scheme val="minor"/>
    </font>
    <font>
      <b/>
      <sz val="10"/>
      <color theme="1"/>
      <name val="Verdana"/>
      <family val="2"/>
      <charset val="204"/>
    </font>
    <font>
      <b/>
      <sz val="10"/>
      <name val="Verdana"/>
      <family val="2"/>
      <charset val="204"/>
    </font>
    <font>
      <b/>
      <sz val="9"/>
      <color theme="1"/>
      <name val="Arial"/>
      <family val="2"/>
    </font>
    <font>
      <b/>
      <sz val="9"/>
      <name val="Arial"/>
      <family val="2"/>
    </font>
    <font>
      <b/>
      <sz val="11"/>
      <name val="Calibri"/>
      <family val="2"/>
      <charset val="204"/>
      <scheme val="minor"/>
    </font>
    <font>
      <sz val="11"/>
      <name val="Calibri"/>
      <family val="2"/>
      <scheme val="minor"/>
    </font>
    <font>
      <sz val="11"/>
      <name val="Calibri"/>
      <family val="2"/>
      <charset val="204"/>
      <scheme val="minor"/>
    </font>
    <font>
      <sz val="10"/>
      <name val="Calibri"/>
      <family val="2"/>
      <scheme val="minor"/>
    </font>
    <font>
      <b/>
      <sz val="10"/>
      <color rgb="FF808080"/>
      <name val="Arial"/>
      <family val="2"/>
      <charset val="204"/>
    </font>
    <font>
      <sz val="10"/>
      <color rgb="FF212121"/>
      <name val="Inherit"/>
    </font>
    <font>
      <sz val="10"/>
      <color theme="0"/>
      <name val="Arial"/>
      <family val="2"/>
      <charset val="204"/>
    </font>
    <font>
      <b/>
      <sz val="10"/>
      <color theme="0"/>
      <name val="Arial"/>
      <family val="2"/>
      <charset val="204"/>
    </font>
    <font>
      <sz val="10"/>
      <color theme="0"/>
      <name val="Arial"/>
      <family val="2"/>
    </font>
    <font>
      <sz val="10"/>
      <color indexed="10"/>
      <name val="Arial"/>
      <family val="2"/>
    </font>
    <font>
      <sz val="11"/>
      <name val="Arial"/>
      <family val="2"/>
    </font>
    <font>
      <sz val="10"/>
      <color rgb="FF000000"/>
      <name val="Arial"/>
      <family val="2"/>
      <charset val="204"/>
    </font>
    <font>
      <b/>
      <sz val="10"/>
      <name val="Calibri"/>
      <family val="2"/>
    </font>
    <font>
      <sz val="10"/>
      <name val="Macedonian Helv"/>
      <family val="2"/>
    </font>
    <font>
      <sz val="10"/>
      <name val="Arial"/>
      <family val="2"/>
    </font>
    <font>
      <b/>
      <sz val="10"/>
      <name val="Verdana"/>
      <family val="2"/>
    </font>
    <font>
      <sz val="10"/>
      <name val="Verdana"/>
      <family val="2"/>
    </font>
    <font>
      <vertAlign val="superscript"/>
      <sz val="10"/>
      <name val="Verdana"/>
      <family val="2"/>
    </font>
    <font>
      <i/>
      <sz val="10"/>
      <name val="Verdana"/>
      <family val="2"/>
    </font>
    <font>
      <sz val="11"/>
      <name val="Arial"/>
      <family val="2"/>
      <charset val="204"/>
    </font>
    <font>
      <b/>
      <sz val="10"/>
      <color theme="1"/>
      <name val="Arial"/>
      <family val="2"/>
    </font>
    <font>
      <sz val="10"/>
      <name val="Calibri"/>
      <family val="2"/>
    </font>
    <font>
      <sz val="10"/>
      <name val="Macedonian Helv"/>
      <family val="2"/>
    </font>
    <font>
      <sz val="10"/>
      <color rgb="FFFF0000"/>
      <name val="Verdana"/>
      <family val="2"/>
    </font>
    <font>
      <sz val="10"/>
      <color rgb="FFFF0000"/>
      <name val="Arial"/>
      <family val="2"/>
      <charset val="204"/>
    </font>
    <font>
      <sz val="10"/>
      <color theme="4" tint="-0.499984740745262"/>
      <name val="Arial"/>
      <family val="2"/>
      <charset val="204"/>
    </font>
    <font>
      <sz val="12"/>
      <name val="StobiSerif Regular"/>
      <family val="3"/>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FFFF0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rgb="FFA5A5A5"/>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rgb="FFA5A5A5"/>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diagonal/>
    </border>
  </borders>
  <cellStyleXfs count="19">
    <xf numFmtId="0" fontId="0" fillId="0" borderId="0"/>
    <xf numFmtId="43" fontId="4" fillId="0" borderId="0" applyFont="0" applyFill="0" applyBorder="0" applyAlignment="0" applyProtection="0"/>
    <xf numFmtId="0" fontId="3" fillId="0" borderId="0"/>
    <xf numFmtId="0" fontId="8" fillId="0" borderId="0"/>
    <xf numFmtId="0" fontId="10" fillId="0" borderId="0"/>
    <xf numFmtId="166" fontId="3" fillId="0" borderId="0" applyFont="0" applyFill="0" applyBorder="0" applyAlignment="0" applyProtection="0"/>
    <xf numFmtId="0" fontId="10" fillId="0" borderId="0"/>
    <xf numFmtId="0" fontId="7" fillId="0" borderId="0"/>
    <xf numFmtId="43" fontId="12" fillId="0" borderId="0" applyFont="0" applyFill="0" applyBorder="0" applyAlignment="0" applyProtection="0"/>
    <xf numFmtId="0" fontId="2" fillId="0" borderId="0"/>
    <xf numFmtId="0" fontId="1" fillId="0" borderId="0"/>
    <xf numFmtId="0" fontId="7" fillId="0" borderId="0"/>
    <xf numFmtId="0" fontId="31" fillId="0" borderId="0"/>
    <xf numFmtId="168" fontId="34" fillId="0" borderId="0"/>
    <xf numFmtId="167" fontId="35" fillId="0" borderId="0" applyFill="0" applyBorder="0" applyAlignment="0" applyProtection="0"/>
    <xf numFmtId="0" fontId="10" fillId="0" borderId="0"/>
    <xf numFmtId="0" fontId="7" fillId="0" borderId="0"/>
    <xf numFmtId="168" fontId="43" fillId="0" borderId="0"/>
    <xf numFmtId="44" fontId="4" fillId="0" borderId="0" applyFont="0" applyFill="0" applyBorder="0" applyAlignment="0" applyProtection="0"/>
  </cellStyleXfs>
  <cellXfs count="432">
    <xf numFmtId="0" fontId="0" fillId="0" borderId="0" xfId="0"/>
    <xf numFmtId="49" fontId="5" fillId="0" borderId="0" xfId="2" applyNumberFormat="1" applyFont="1" applyAlignment="1">
      <alignment horizontal="center" vertical="top"/>
    </xf>
    <xf numFmtId="49" fontId="5" fillId="0" borderId="0" xfId="2" applyNumberFormat="1" applyFont="1" applyAlignment="1">
      <alignment horizontal="left" vertical="top" wrapText="1"/>
    </xf>
    <xf numFmtId="49" fontId="5" fillId="0" borderId="0" xfId="2" applyNumberFormat="1" applyFont="1" applyAlignment="1">
      <alignment horizontal="center" vertical="top" wrapText="1"/>
    </xf>
    <xf numFmtId="49" fontId="7" fillId="0" borderId="0" xfId="2" applyNumberFormat="1" applyFont="1" applyAlignment="1">
      <alignment horizontal="center" vertical="top"/>
    </xf>
    <xf numFmtId="49" fontId="5" fillId="2" borderId="0" xfId="2" applyNumberFormat="1" applyFont="1" applyFill="1" applyAlignment="1">
      <alignment horizontal="center" vertical="top"/>
    </xf>
    <xf numFmtId="2" fontId="5" fillId="2" borderId="0" xfId="2" applyNumberFormat="1" applyFont="1" applyFill="1" applyAlignment="1">
      <alignment horizontal="left" vertical="top" wrapText="1"/>
    </xf>
    <xf numFmtId="3" fontId="7" fillId="2" borderId="0" xfId="2" applyNumberFormat="1" applyFont="1" applyFill="1" applyAlignment="1">
      <alignment horizontal="center" vertical="center" wrapText="1"/>
    </xf>
    <xf numFmtId="2" fontId="7" fillId="2" borderId="0" xfId="2" applyNumberFormat="1" applyFont="1" applyFill="1" applyAlignment="1">
      <alignment horizontal="right" vertical="center" wrapText="1"/>
    </xf>
    <xf numFmtId="164" fontId="7" fillId="2" borderId="0" xfId="2" applyNumberFormat="1" applyFont="1" applyFill="1" applyAlignment="1">
      <alignment horizontal="right" vertical="center" wrapText="1"/>
    </xf>
    <xf numFmtId="3" fontId="7" fillId="0" borderId="0" xfId="2" applyNumberFormat="1" applyFont="1" applyAlignment="1">
      <alignment horizontal="center" vertical="center" wrapText="1"/>
    </xf>
    <xf numFmtId="2" fontId="7" fillId="0" borderId="0" xfId="2" applyNumberFormat="1" applyFont="1" applyAlignment="1">
      <alignment horizontal="right" vertical="center" wrapText="1"/>
    </xf>
    <xf numFmtId="164" fontId="7" fillId="0" borderId="0" xfId="2" applyNumberFormat="1" applyFont="1" applyAlignment="1">
      <alignment horizontal="right" vertical="center" wrapText="1"/>
    </xf>
    <xf numFmtId="0" fontId="7" fillId="0" borderId="0" xfId="2" applyFont="1" applyAlignment="1">
      <alignment horizontal="center" vertical="center" wrapText="1"/>
    </xf>
    <xf numFmtId="165" fontId="7" fillId="0" borderId="0" xfId="2" applyNumberFormat="1" applyFont="1" applyAlignment="1">
      <alignment horizontal="right" vertical="center"/>
    </xf>
    <xf numFmtId="0" fontId="7" fillId="0" borderId="0" xfId="0" applyFont="1" applyAlignment="1">
      <alignment horizontal="center" vertical="center"/>
    </xf>
    <xf numFmtId="49" fontId="7" fillId="0" borderId="0" xfId="0" applyNumberFormat="1" applyFont="1" applyAlignment="1">
      <alignment horizontal="center" vertical="top"/>
    </xf>
    <xf numFmtId="0" fontId="7" fillId="0" borderId="0" xfId="0" applyFont="1" applyAlignment="1">
      <alignment vertical="top" wrapText="1"/>
    </xf>
    <xf numFmtId="0" fontId="7" fillId="0" borderId="0" xfId="0" applyFont="1" applyAlignment="1">
      <alignment horizontal="right" vertical="center"/>
    </xf>
    <xf numFmtId="2" fontId="7" fillId="0" borderId="0" xfId="0" applyNumberFormat="1" applyFont="1" applyAlignment="1">
      <alignment horizontal="right" vertical="center"/>
    </xf>
    <xf numFmtId="43" fontId="7" fillId="0" borderId="0" xfId="1" applyFont="1" applyFill="1" applyAlignment="1">
      <alignment horizontal="right" vertical="center"/>
    </xf>
    <xf numFmtId="0" fontId="7" fillId="0" borderId="0" xfId="0" applyFont="1" applyAlignment="1">
      <alignment vertical="top"/>
    </xf>
    <xf numFmtId="43" fontId="7" fillId="0" borderId="0" xfId="1" applyFont="1" applyAlignment="1">
      <alignment horizontal="right" vertical="center"/>
    </xf>
    <xf numFmtId="49" fontId="7" fillId="2" borderId="0" xfId="0" applyNumberFormat="1" applyFont="1" applyFill="1" applyAlignment="1">
      <alignment horizontal="center" vertical="top"/>
    </xf>
    <xf numFmtId="49" fontId="7" fillId="2" borderId="0" xfId="2" applyNumberFormat="1" applyFont="1" applyFill="1" applyAlignment="1">
      <alignment horizontal="left" vertical="top" wrapText="1"/>
    </xf>
    <xf numFmtId="0" fontId="7" fillId="2" borderId="0" xfId="0" applyFont="1" applyFill="1" applyAlignment="1">
      <alignment horizontal="center" vertical="center"/>
    </xf>
    <xf numFmtId="0" fontId="7" fillId="2" borderId="0" xfId="0" applyFont="1" applyFill="1" applyAlignment="1">
      <alignment horizontal="right" vertical="center"/>
    </xf>
    <xf numFmtId="2" fontId="7" fillId="2" borderId="0" xfId="0" applyNumberFormat="1" applyFont="1" applyFill="1" applyAlignment="1">
      <alignment horizontal="right" vertical="center"/>
    </xf>
    <xf numFmtId="43" fontId="7" fillId="2" borderId="0" xfId="0" applyNumberFormat="1" applyFont="1" applyFill="1" applyAlignment="1">
      <alignment horizontal="right" vertical="center"/>
    </xf>
    <xf numFmtId="0" fontId="7" fillId="2" borderId="0" xfId="0" applyFont="1" applyFill="1" applyAlignment="1">
      <alignment vertical="top"/>
    </xf>
    <xf numFmtId="0" fontId="7" fillId="0" borderId="0" xfId="2" applyFont="1" applyAlignment="1">
      <alignment horizontal="center" vertical="top"/>
    </xf>
    <xf numFmtId="0" fontId="5" fillId="0" borderId="0" xfId="2" applyFont="1" applyAlignment="1">
      <alignment horizontal="center" vertical="center" wrapText="1"/>
    </xf>
    <xf numFmtId="0" fontId="7" fillId="0" borderId="0" xfId="2" applyFont="1" applyAlignment="1">
      <alignment horizontal="left" vertical="top" wrapText="1"/>
    </xf>
    <xf numFmtId="0" fontId="7" fillId="0" borderId="0" xfId="2" quotePrefix="1" applyFont="1" applyAlignment="1">
      <alignment horizontal="left" vertical="top" wrapText="1"/>
    </xf>
    <xf numFmtId="4" fontId="7" fillId="0" borderId="0" xfId="2" applyNumberFormat="1" applyFont="1" applyAlignment="1">
      <alignment horizontal="right" vertical="center"/>
    </xf>
    <xf numFmtId="2" fontId="7" fillId="0" borderId="0" xfId="2" applyNumberFormat="1" applyFont="1" applyAlignment="1">
      <alignment vertical="center"/>
    </xf>
    <xf numFmtId="0" fontId="7" fillId="0" borderId="0" xfId="2" applyFont="1"/>
    <xf numFmtId="43" fontId="7" fillId="0" borderId="0" xfId="1" applyFont="1" applyFill="1" applyBorder="1" applyProtection="1"/>
    <xf numFmtId="1" fontId="5" fillId="2" borderId="0" xfId="2" applyNumberFormat="1" applyFont="1" applyFill="1" applyAlignment="1">
      <alignment horizontal="left" vertical="top" wrapText="1"/>
    </xf>
    <xf numFmtId="49" fontId="7" fillId="0" borderId="0" xfId="0" applyNumberFormat="1" applyFont="1" applyAlignment="1">
      <alignment horizontal="center" vertical="top" wrapText="1"/>
    </xf>
    <xf numFmtId="0" fontId="7" fillId="0" borderId="0" xfId="0" applyFont="1" applyAlignment="1">
      <alignment horizontal="center" vertical="center" wrapText="1"/>
    </xf>
    <xf numFmtId="0" fontId="7" fillId="2" borderId="0" xfId="2" applyFont="1" applyFill="1" applyAlignment="1">
      <alignment horizontal="left" vertical="top" wrapText="1"/>
    </xf>
    <xf numFmtId="2" fontId="7" fillId="0" borderId="0" xfId="2" applyNumberFormat="1" applyFont="1" applyAlignment="1">
      <alignment horizontal="left" vertical="top" wrapText="1"/>
    </xf>
    <xf numFmtId="1" fontId="7" fillId="0" borderId="0" xfId="2" applyNumberFormat="1" applyFont="1" applyAlignment="1">
      <alignment horizontal="left" vertical="top" wrapText="1"/>
    </xf>
    <xf numFmtId="2" fontId="7" fillId="0" borderId="0" xfId="0" applyNumberFormat="1" applyFont="1" applyAlignment="1">
      <alignment horizontal="right" vertical="center" wrapText="1"/>
    </xf>
    <xf numFmtId="1" fontId="10" fillId="0" borderId="0" xfId="2" applyNumberFormat="1" applyFont="1" applyAlignment="1">
      <alignment horizontal="left" vertical="top" wrapText="1"/>
    </xf>
    <xf numFmtId="2" fontId="7" fillId="0" borderId="0" xfId="2" applyNumberFormat="1" applyFont="1" applyAlignment="1">
      <alignment horizontal="right" vertical="center"/>
    </xf>
    <xf numFmtId="49" fontId="7" fillId="0" borderId="0" xfId="2" applyNumberFormat="1" applyFont="1" applyAlignment="1">
      <alignment horizontal="left" vertical="top" wrapText="1"/>
    </xf>
    <xf numFmtId="0" fontId="7" fillId="0" borderId="0" xfId="2" applyFont="1" applyAlignment="1">
      <alignment horizontal="center" vertical="center"/>
    </xf>
    <xf numFmtId="0" fontId="7" fillId="0" borderId="0" xfId="2" applyFont="1" applyAlignment="1">
      <alignment horizontal="right" vertical="center"/>
    </xf>
    <xf numFmtId="49" fontId="7" fillId="0" borderId="0" xfId="2" applyNumberFormat="1" applyFont="1" applyAlignment="1">
      <alignment horizontal="center" vertical="top" wrapText="1"/>
    </xf>
    <xf numFmtId="49" fontId="7" fillId="0" borderId="0" xfId="3" applyNumberFormat="1" applyFont="1" applyAlignment="1" applyProtection="1">
      <alignment horizontal="center" vertical="top" wrapText="1"/>
      <protection locked="0"/>
    </xf>
    <xf numFmtId="0" fontId="7" fillId="0" borderId="0" xfId="3" applyFont="1" applyAlignment="1" applyProtection="1">
      <alignment horizontal="center" vertical="top" wrapText="1"/>
      <protection locked="0"/>
    </xf>
    <xf numFmtId="49" fontId="7" fillId="0" borderId="0" xfId="3" applyNumberFormat="1" applyFont="1" applyAlignment="1">
      <alignment horizontal="center" vertical="top" wrapText="1"/>
    </xf>
    <xf numFmtId="0" fontId="7" fillId="0" borderId="0" xfId="0" applyFont="1" applyAlignment="1">
      <alignment horizontal="right" vertical="center" wrapText="1"/>
    </xf>
    <xf numFmtId="49" fontId="7" fillId="0" borderId="0" xfId="0" applyNumberFormat="1" applyFont="1" applyAlignment="1">
      <alignment horizontal="left" wrapText="1"/>
    </xf>
    <xf numFmtId="0" fontId="7" fillId="0" borderId="0" xfId="2" applyFont="1" applyAlignment="1">
      <alignment horizontal="right" vertical="top"/>
    </xf>
    <xf numFmtId="0" fontId="7" fillId="0" borderId="0" xfId="2" applyFont="1" applyAlignment="1">
      <alignment vertical="center"/>
    </xf>
    <xf numFmtId="0" fontId="7" fillId="0" borderId="0" xfId="2" applyFont="1" applyAlignment="1">
      <alignment horizontal="right"/>
    </xf>
    <xf numFmtId="0" fontId="7" fillId="0" borderId="0" xfId="9" applyFont="1" applyAlignment="1">
      <alignment horizontal="right" vertical="top"/>
    </xf>
    <xf numFmtId="3" fontId="7" fillId="0" borderId="0" xfId="9" applyNumberFormat="1" applyFont="1" applyAlignment="1">
      <alignment horizontal="center" vertical="center" wrapText="1"/>
    </xf>
    <xf numFmtId="4" fontId="7" fillId="0" borderId="0" xfId="9" applyNumberFormat="1" applyFont="1" applyAlignment="1">
      <alignment horizontal="right" vertical="center"/>
    </xf>
    <xf numFmtId="0" fontId="7" fillId="0" borderId="0" xfId="9" applyFont="1" applyAlignment="1">
      <alignment horizontal="right"/>
    </xf>
    <xf numFmtId="0" fontId="7" fillId="0" borderId="0" xfId="9" applyFont="1"/>
    <xf numFmtId="43" fontId="7" fillId="0" borderId="0" xfId="1" applyFont="1" applyFill="1" applyProtection="1"/>
    <xf numFmtId="164" fontId="7" fillId="0" borderId="0" xfId="5" applyNumberFormat="1" applyFont="1" applyFill="1" applyBorder="1" applyAlignment="1" applyProtection="1">
      <alignment vertical="center"/>
    </xf>
    <xf numFmtId="49" fontId="7" fillId="0" borderId="0" xfId="2" quotePrefix="1" applyNumberFormat="1" applyFont="1" applyAlignment="1">
      <alignment horizontal="left" vertical="top" wrapText="1"/>
    </xf>
    <xf numFmtId="49" fontId="7" fillId="0" borderId="0" xfId="9" applyNumberFormat="1" applyFont="1" applyAlignment="1">
      <alignment horizontal="left" vertical="top" wrapText="1"/>
    </xf>
    <xf numFmtId="2" fontId="5" fillId="2" borderId="0" xfId="9" applyNumberFormat="1" applyFont="1" applyFill="1" applyAlignment="1">
      <alignment horizontal="left" vertical="top" wrapText="1"/>
    </xf>
    <xf numFmtId="2" fontId="7" fillId="0" borderId="0" xfId="9" applyNumberFormat="1" applyFont="1" applyAlignment="1">
      <alignment vertical="center"/>
    </xf>
    <xf numFmtId="49" fontId="7" fillId="0" borderId="0" xfId="6" applyNumberFormat="1" applyFont="1" applyAlignment="1">
      <alignment horizontal="left" vertical="top" wrapText="1"/>
    </xf>
    <xf numFmtId="49" fontId="5" fillId="2" borderId="0" xfId="9" applyNumberFormat="1" applyFont="1" applyFill="1" applyAlignment="1">
      <alignment horizontal="center" vertical="top"/>
    </xf>
    <xf numFmtId="1" fontId="5" fillId="2" borderId="0" xfId="4" applyNumberFormat="1" applyFont="1" applyFill="1" applyAlignment="1">
      <alignment horizontal="left" vertical="top" wrapText="1"/>
    </xf>
    <xf numFmtId="2" fontId="7" fillId="2" borderId="0" xfId="9" applyNumberFormat="1" applyFont="1" applyFill="1" applyAlignment="1">
      <alignment horizontal="right" vertical="center" wrapText="1"/>
    </xf>
    <xf numFmtId="164" fontId="7" fillId="2" borderId="0" xfId="9" applyNumberFormat="1" applyFont="1" applyFill="1" applyAlignment="1">
      <alignment horizontal="right" vertical="center" wrapText="1"/>
    </xf>
    <xf numFmtId="49" fontId="7" fillId="0" borderId="0" xfId="9" applyNumberFormat="1" applyFont="1" applyAlignment="1">
      <alignment horizontal="center" vertical="top"/>
    </xf>
    <xf numFmtId="2" fontId="7" fillId="0" borderId="0" xfId="9" applyNumberFormat="1" applyFont="1" applyAlignment="1">
      <alignment horizontal="right" vertical="center" wrapText="1"/>
    </xf>
    <xf numFmtId="164" fontId="7" fillId="0" borderId="0" xfId="9" applyNumberFormat="1" applyFont="1" applyAlignment="1">
      <alignment horizontal="right" vertical="center" wrapText="1"/>
    </xf>
    <xf numFmtId="49" fontId="5" fillId="0" borderId="0" xfId="9" applyNumberFormat="1" applyFont="1" applyAlignment="1">
      <alignment horizontal="center" vertical="top"/>
    </xf>
    <xf numFmtId="1" fontId="7" fillId="0" borderId="0" xfId="4" applyNumberFormat="1" applyFont="1" applyAlignment="1">
      <alignment horizontal="left" vertical="top" wrapText="1"/>
    </xf>
    <xf numFmtId="0" fontId="7" fillId="0" borderId="0" xfId="9" applyFont="1" applyAlignment="1">
      <alignment horizontal="center" vertical="center" wrapText="1"/>
    </xf>
    <xf numFmtId="1" fontId="5" fillId="0" borderId="0" xfId="4" applyNumberFormat="1" applyFont="1" applyAlignment="1">
      <alignment horizontal="left" vertical="top" wrapText="1"/>
    </xf>
    <xf numFmtId="49" fontId="7" fillId="2" borderId="0" xfId="9" applyNumberFormat="1" applyFont="1" applyFill="1" applyAlignment="1">
      <alignment horizontal="left" vertical="top" wrapText="1"/>
    </xf>
    <xf numFmtId="1" fontId="5" fillId="2" borderId="0" xfId="9" applyNumberFormat="1" applyFont="1" applyFill="1" applyAlignment="1">
      <alignment horizontal="left" vertical="top" wrapText="1"/>
    </xf>
    <xf numFmtId="1" fontId="5" fillId="0" borderId="0" xfId="9" applyNumberFormat="1" applyFont="1" applyAlignment="1">
      <alignment horizontal="left" vertical="top" wrapText="1"/>
    </xf>
    <xf numFmtId="1" fontId="7" fillId="0" borderId="0" xfId="9" applyNumberFormat="1" applyFont="1" applyAlignment="1">
      <alignment horizontal="left" vertical="top" wrapText="1"/>
    </xf>
    <xf numFmtId="1" fontId="7" fillId="2" borderId="0" xfId="9" applyNumberFormat="1" applyFont="1" applyFill="1" applyAlignment="1">
      <alignment horizontal="left" vertical="top" wrapText="1"/>
    </xf>
    <xf numFmtId="0" fontId="5" fillId="0" borderId="0" xfId="0" applyFont="1" applyAlignment="1">
      <alignment vertical="top" wrapText="1"/>
    </xf>
    <xf numFmtId="0" fontId="13" fillId="0" borderId="0" xfId="0" applyFont="1" applyAlignment="1">
      <alignment vertical="top" wrapText="1"/>
    </xf>
    <xf numFmtId="0" fontId="7" fillId="0" borderId="0" xfId="0" quotePrefix="1" applyFont="1" applyAlignment="1">
      <alignment vertical="top" wrapText="1"/>
    </xf>
    <xf numFmtId="0" fontId="11" fillId="0" borderId="0" xfId="0" applyFont="1"/>
    <xf numFmtId="0" fontId="10" fillId="3" borderId="0" xfId="0" applyFont="1" applyFill="1" applyAlignment="1">
      <alignment horizontal="left" vertical="top" indent="1"/>
    </xf>
    <xf numFmtId="49" fontId="13" fillId="3" borderId="0" xfId="0" applyNumberFormat="1" applyFont="1" applyFill="1" applyAlignment="1">
      <alignment horizontal="left" vertical="top" wrapText="1" indent="1"/>
    </xf>
    <xf numFmtId="0" fontId="10" fillId="3" borderId="0" xfId="0" applyFont="1" applyFill="1" applyAlignment="1">
      <alignment horizontal="left" vertical="center" wrapText="1" indent="1"/>
    </xf>
    <xf numFmtId="4" fontId="13" fillId="3" borderId="0" xfId="0" applyNumberFormat="1" applyFont="1" applyFill="1" applyAlignment="1">
      <alignment horizontal="center" vertical="center"/>
    </xf>
    <xf numFmtId="0" fontId="10" fillId="0" borderId="0" xfId="0" applyFont="1" applyAlignment="1">
      <alignment horizontal="left" vertical="top" indent="1"/>
    </xf>
    <xf numFmtId="49" fontId="10" fillId="0" borderId="0" xfId="0" applyNumberFormat="1" applyFont="1" applyAlignment="1">
      <alignment horizontal="left" vertical="top" wrapText="1" indent="1"/>
    </xf>
    <xf numFmtId="0" fontId="10" fillId="0" borderId="0" xfId="0" applyFont="1" applyAlignment="1">
      <alignment horizontal="left" vertical="center" wrapText="1" indent="1"/>
    </xf>
    <xf numFmtId="4" fontId="10" fillId="0" borderId="0" xfId="0" applyNumberFormat="1" applyFont="1" applyAlignment="1">
      <alignment horizontal="left" vertical="center" indent="1"/>
    </xf>
    <xf numFmtId="0" fontId="11" fillId="0" borderId="0" xfId="0" applyFont="1" applyAlignment="1">
      <alignment horizontal="right"/>
    </xf>
    <xf numFmtId="43" fontId="0" fillId="0" borderId="0" xfId="0" applyNumberFormat="1"/>
    <xf numFmtId="4" fontId="5" fillId="0" borderId="0" xfId="2" applyNumberFormat="1" applyFont="1" applyAlignment="1">
      <alignment horizontal="right" vertical="center"/>
    </xf>
    <xf numFmtId="4" fontId="7" fillId="0" borderId="0" xfId="2" applyNumberFormat="1" applyFont="1" applyAlignment="1">
      <alignment horizontal="left" vertical="center"/>
    </xf>
    <xf numFmtId="2" fontId="7" fillId="7" borderId="0" xfId="0" applyNumberFormat="1" applyFont="1" applyFill="1" applyAlignment="1">
      <alignment horizontal="right" vertical="center"/>
    </xf>
    <xf numFmtId="43" fontId="7" fillId="0" borderId="0" xfId="1" applyFont="1" applyFill="1" applyBorder="1" applyAlignment="1">
      <alignment horizontal="right" vertical="center"/>
    </xf>
    <xf numFmtId="49" fontId="7" fillId="0" borderId="0" xfId="7" applyNumberFormat="1" applyAlignment="1">
      <alignment horizontal="left" vertical="top" wrapText="1"/>
    </xf>
    <xf numFmtId="49" fontId="7" fillId="0" borderId="0" xfId="7" applyNumberFormat="1" applyAlignment="1">
      <alignment vertical="top" wrapText="1"/>
    </xf>
    <xf numFmtId="1" fontId="7" fillId="0" borderId="0" xfId="9" applyNumberFormat="1" applyFont="1" applyAlignment="1" applyProtection="1">
      <alignment horizontal="left" vertical="top" wrapText="1"/>
      <protection locked="0"/>
    </xf>
    <xf numFmtId="0" fontId="7" fillId="0" borderId="0" xfId="0" applyFont="1" applyAlignment="1">
      <alignment horizontal="left" vertical="top" wrapText="1"/>
    </xf>
    <xf numFmtId="1" fontId="7" fillId="0" borderId="0" xfId="2" quotePrefix="1" applyNumberFormat="1" applyFont="1" applyAlignment="1">
      <alignment horizontal="left" vertical="top" wrapText="1"/>
    </xf>
    <xf numFmtId="43" fontId="7" fillId="0" borderId="0" xfId="1" applyFont="1" applyBorder="1" applyAlignment="1">
      <alignment horizontal="right" vertical="center"/>
    </xf>
    <xf numFmtId="0" fontId="7" fillId="0" borderId="15" xfId="15" applyFont="1" applyBorder="1" applyAlignment="1">
      <alignment vertical="center" wrapText="1"/>
    </xf>
    <xf numFmtId="4" fontId="10" fillId="0" borderId="15" xfId="15" applyNumberFormat="1" applyBorder="1" applyAlignment="1">
      <alignment horizontal="right" wrapText="1"/>
    </xf>
    <xf numFmtId="4" fontId="7" fillId="0" borderId="15" xfId="15" applyNumberFormat="1" applyFont="1" applyBorder="1" applyAlignment="1">
      <alignment wrapText="1"/>
    </xf>
    <xf numFmtId="0" fontId="7" fillId="0" borderId="0" xfId="15" applyFont="1" applyAlignment="1">
      <alignment wrapText="1"/>
    </xf>
    <xf numFmtId="0" fontId="7" fillId="0" borderId="0" xfId="15" applyFont="1"/>
    <xf numFmtId="0" fontId="7" fillId="0" borderId="15" xfId="15" applyFont="1" applyBorder="1" applyAlignment="1">
      <alignment vertical="center"/>
    </xf>
    <xf numFmtId="0" fontId="25" fillId="0" borderId="15" xfId="15" applyFont="1" applyBorder="1" applyAlignment="1">
      <alignment horizontal="justify"/>
    </xf>
    <xf numFmtId="0" fontId="7" fillId="0" borderId="15" xfId="15" applyFont="1" applyBorder="1"/>
    <xf numFmtId="4" fontId="10" fillId="0" borderId="15" xfId="15" applyNumberFormat="1" applyBorder="1" applyAlignment="1">
      <alignment horizontal="right"/>
    </xf>
    <xf numFmtId="4" fontId="7" fillId="0" borderId="15" xfId="15" applyNumberFormat="1" applyFont="1" applyBorder="1"/>
    <xf numFmtId="4" fontId="5" fillId="0" borderId="15" xfId="15" applyNumberFormat="1" applyFont="1" applyBorder="1"/>
    <xf numFmtId="0" fontId="7" fillId="0" borderId="15" xfId="15" applyFont="1" applyBorder="1" applyAlignment="1">
      <alignment horizontal="center" vertical="top" wrapText="1"/>
    </xf>
    <xf numFmtId="0" fontId="7" fillId="0" borderId="15" xfId="15" applyFont="1" applyBorder="1" applyAlignment="1">
      <alignment horizontal="center" vertical="top"/>
    </xf>
    <xf numFmtId="0" fontId="7" fillId="0" borderId="15" xfId="15" applyFont="1" applyBorder="1" applyAlignment="1">
      <alignment horizontal="center" vertical="center" textRotation="90" wrapText="1"/>
    </xf>
    <xf numFmtId="4" fontId="10" fillId="0" borderId="15" xfId="15" applyNumberFormat="1" applyBorder="1" applyAlignment="1">
      <alignment horizontal="justify" textRotation="90"/>
    </xf>
    <xf numFmtId="4" fontId="7" fillId="0" borderId="15" xfId="15" applyNumberFormat="1" applyFont="1" applyBorder="1" applyAlignment="1">
      <alignment vertical="top" wrapText="1"/>
    </xf>
    <xf numFmtId="4" fontId="5" fillId="0" borderId="15" xfId="15" applyNumberFormat="1" applyFont="1" applyBorder="1" applyAlignment="1">
      <alignment vertical="top" wrapText="1"/>
    </xf>
    <xf numFmtId="0" fontId="7" fillId="0" borderId="0" xfId="15" applyFont="1" applyAlignment="1">
      <alignment vertical="top" wrapText="1"/>
    </xf>
    <xf numFmtId="0" fontId="7" fillId="0" borderId="15" xfId="15" applyFont="1" applyBorder="1" applyAlignment="1">
      <alignment wrapText="1"/>
    </xf>
    <xf numFmtId="0" fontId="7" fillId="0" borderId="15" xfId="15" applyFont="1" applyBorder="1" applyAlignment="1">
      <alignment horizontal="center" wrapText="1"/>
    </xf>
    <xf numFmtId="4" fontId="5" fillId="0" borderId="15" xfId="15" applyNumberFormat="1" applyFont="1" applyBorder="1" applyAlignment="1">
      <alignment wrapText="1"/>
    </xf>
    <xf numFmtId="0" fontId="9" fillId="0" borderId="15" xfId="15" applyFont="1" applyBorder="1" applyAlignment="1">
      <alignment horizontal="left" wrapText="1"/>
    </xf>
    <xf numFmtId="0" fontId="7" fillId="4" borderId="0" xfId="15" applyFont="1" applyFill="1" applyAlignment="1">
      <alignment wrapText="1"/>
    </xf>
    <xf numFmtId="0" fontId="9" fillId="0" borderId="15" xfId="15" applyFont="1" applyBorder="1" applyAlignment="1">
      <alignment wrapText="1"/>
    </xf>
    <xf numFmtId="0" fontId="7" fillId="0" borderId="15" xfId="15" applyFont="1" applyBorder="1" applyAlignment="1">
      <alignment horizontal="left" wrapText="1"/>
    </xf>
    <xf numFmtId="0" fontId="7" fillId="0" borderId="15" xfId="15" applyFont="1" applyBorder="1" applyAlignment="1">
      <alignment horizontal="center"/>
    </xf>
    <xf numFmtId="0" fontId="7" fillId="0" borderId="18" xfId="15" applyFont="1" applyBorder="1" applyAlignment="1">
      <alignment vertical="center" wrapText="1"/>
    </xf>
    <xf numFmtId="0" fontId="26" fillId="0" borderId="15" xfId="15" applyFont="1" applyBorder="1" applyAlignment="1">
      <alignment horizontal="left" vertical="center"/>
    </xf>
    <xf numFmtId="0" fontId="7" fillId="0" borderId="15" xfId="15" applyFont="1" applyBorder="1" applyAlignment="1">
      <alignment horizontal="left" vertical="top" wrapText="1"/>
    </xf>
    <xf numFmtId="0" fontId="7" fillId="0" borderId="15" xfId="15" applyFont="1" applyBorder="1" applyAlignment="1">
      <alignment horizontal="center" vertical="center" wrapText="1"/>
    </xf>
    <xf numFmtId="0" fontId="5" fillId="0" borderId="15" xfId="15" applyFont="1" applyBorder="1" applyAlignment="1">
      <alignment horizontal="left" wrapText="1"/>
    </xf>
    <xf numFmtId="0" fontId="27" fillId="0" borderId="15" xfId="15" applyFont="1" applyBorder="1" applyAlignment="1">
      <alignment horizontal="center" vertical="center" wrapText="1"/>
    </xf>
    <xf numFmtId="0" fontId="28" fillId="0" borderId="15" xfId="15" applyFont="1" applyBorder="1" applyAlignment="1">
      <alignment horizontal="left" wrapText="1"/>
    </xf>
    <xf numFmtId="0" fontId="27" fillId="0" borderId="15" xfId="15" applyFont="1" applyBorder="1" applyAlignment="1">
      <alignment horizontal="center" wrapText="1"/>
    </xf>
    <xf numFmtId="4" fontId="29" fillId="0" borderId="15" xfId="15" applyNumberFormat="1" applyFont="1" applyBorder="1" applyAlignment="1">
      <alignment horizontal="right" wrapText="1"/>
    </xf>
    <xf numFmtId="4" fontId="27" fillId="0" borderId="15" xfId="15" applyNumberFormat="1" applyFont="1" applyBorder="1" applyAlignment="1">
      <alignment wrapText="1"/>
    </xf>
    <xf numFmtId="4" fontId="28" fillId="0" borderId="15" xfId="15" applyNumberFormat="1" applyFont="1" applyBorder="1" applyAlignment="1">
      <alignment wrapText="1"/>
    </xf>
    <xf numFmtId="0" fontId="27" fillId="4" borderId="0" xfId="15" applyFont="1" applyFill="1" applyAlignment="1">
      <alignment wrapText="1"/>
    </xf>
    <xf numFmtId="0" fontId="29" fillId="0" borderId="15" xfId="15" applyFont="1" applyBorder="1" applyAlignment="1">
      <alignment horizontal="center" vertical="center" wrapText="1"/>
    </xf>
    <xf numFmtId="0" fontId="13" fillId="0" borderId="15" xfId="15" applyFont="1" applyBorder="1" applyAlignment="1">
      <alignment horizontal="left" wrapText="1"/>
    </xf>
    <xf numFmtId="0" fontId="29" fillId="0" borderId="15" xfId="15" applyFont="1" applyBorder="1" applyAlignment="1">
      <alignment horizontal="center" wrapText="1"/>
    </xf>
    <xf numFmtId="0" fontId="10" fillId="0" borderId="15" xfId="15" applyBorder="1" applyAlignment="1">
      <alignment horizontal="center" vertical="center" wrapText="1"/>
    </xf>
    <xf numFmtId="0" fontId="10" fillId="0" borderId="15" xfId="15" applyBorder="1" applyAlignment="1">
      <alignment horizontal="left" vertical="top" wrapText="1"/>
    </xf>
    <xf numFmtId="0" fontId="10" fillId="0" borderId="15" xfId="15" applyBorder="1" applyAlignment="1">
      <alignment horizontal="center"/>
    </xf>
    <xf numFmtId="0" fontId="27" fillId="0" borderId="0" xfId="15" applyFont="1" applyAlignment="1">
      <alignment wrapText="1"/>
    </xf>
    <xf numFmtId="0" fontId="11" fillId="0" borderId="15" xfId="15" applyFont="1" applyBorder="1" applyAlignment="1">
      <alignment horizontal="left" vertical="top" wrapText="1"/>
    </xf>
    <xf numFmtId="0" fontId="10" fillId="0" borderId="15" xfId="15" applyBorder="1" applyAlignment="1">
      <alignment horizontal="center" wrapText="1"/>
    </xf>
    <xf numFmtId="0" fontId="5" fillId="0" borderId="15" xfId="15" applyFont="1" applyBorder="1" applyAlignment="1">
      <alignment horizontal="center" vertical="center" wrapText="1"/>
    </xf>
    <xf numFmtId="0" fontId="5" fillId="0" borderId="15" xfId="15" applyFont="1" applyBorder="1" applyAlignment="1">
      <alignment horizontal="center" wrapText="1"/>
    </xf>
    <xf numFmtId="4" fontId="13" fillId="0" borderId="15" xfId="15" applyNumberFormat="1" applyFont="1" applyBorder="1" applyAlignment="1">
      <alignment horizontal="right"/>
    </xf>
    <xf numFmtId="4" fontId="13" fillId="0" borderId="15" xfId="15" applyNumberFormat="1" applyFont="1" applyBorder="1" applyAlignment="1">
      <alignment horizontal="right" wrapText="1"/>
    </xf>
    <xf numFmtId="0" fontId="10" fillId="0" borderId="15" xfId="15" applyBorder="1" applyAlignment="1">
      <alignment horizontal="left" vertical="center" wrapText="1"/>
    </xf>
    <xf numFmtId="0" fontId="11" fillId="0" borderId="15" xfId="15" applyFont="1" applyBorder="1" applyAlignment="1">
      <alignment horizontal="left" vertical="center" wrapText="1"/>
    </xf>
    <xf numFmtId="0" fontId="10" fillId="0" borderId="15" xfId="15" applyBorder="1" applyAlignment="1">
      <alignment horizontal="center" vertical="justify"/>
    </xf>
    <xf numFmtId="4" fontId="11" fillId="0" borderId="15" xfId="15" applyNumberFormat="1" applyFont="1" applyBorder="1" applyAlignment="1">
      <alignment horizontal="right"/>
    </xf>
    <xf numFmtId="0" fontId="5" fillId="0" borderId="35" xfId="15" applyFont="1" applyBorder="1" applyAlignment="1">
      <alignment horizontal="left" wrapText="1"/>
    </xf>
    <xf numFmtId="0" fontId="7" fillId="0" borderId="35" xfId="15" applyFont="1" applyBorder="1" applyAlignment="1">
      <alignment wrapText="1"/>
    </xf>
    <xf numFmtId="4" fontId="10" fillId="0" borderId="37" xfId="15" applyNumberFormat="1" applyBorder="1" applyAlignment="1">
      <alignment horizontal="right" wrapText="1"/>
    </xf>
    <xf numFmtId="0" fontId="7" fillId="0" borderId="37" xfId="15" applyFont="1" applyBorder="1" applyAlignment="1">
      <alignment wrapText="1"/>
    </xf>
    <xf numFmtId="0" fontId="7" fillId="0" borderId="38" xfId="15" applyFont="1" applyBorder="1" applyAlignment="1">
      <alignment wrapText="1"/>
    </xf>
    <xf numFmtId="0" fontId="10" fillId="0" borderId="0" xfId="15"/>
    <xf numFmtId="0" fontId="10" fillId="0" borderId="0" xfId="15" applyAlignment="1">
      <alignment wrapText="1"/>
    </xf>
    <xf numFmtId="0" fontId="7" fillId="0" borderId="15" xfId="15" applyFont="1" applyBorder="1" applyAlignment="1">
      <alignment horizontal="right" vertical="center"/>
    </xf>
    <xf numFmtId="0" fontId="10" fillId="0" borderId="0" xfId="15" applyAlignment="1">
      <alignment horizontal="right" vertical="top"/>
    </xf>
    <xf numFmtId="0" fontId="30" fillId="0" borderId="0" xfId="15" applyFont="1" applyAlignment="1">
      <alignment wrapText="1"/>
    </xf>
    <xf numFmtId="0" fontId="6" fillId="0" borderId="15" xfId="15" applyFont="1" applyBorder="1" applyAlignment="1">
      <alignment horizontal="center" vertical="center"/>
    </xf>
    <xf numFmtId="2" fontId="6" fillId="0" borderId="15" xfId="15" applyNumberFormat="1" applyFont="1" applyBorder="1" applyAlignment="1" applyProtection="1">
      <alignment horizontal="justify" vertical="justify" wrapText="1"/>
      <protection locked="0"/>
    </xf>
    <xf numFmtId="2" fontId="7" fillId="0" borderId="15" xfId="15" applyNumberFormat="1" applyFont="1" applyBorder="1" applyAlignment="1" applyProtection="1">
      <alignment horizontal="justify" vertical="justify" wrapText="1"/>
      <protection locked="0"/>
    </xf>
    <xf numFmtId="0" fontId="7" fillId="0" borderId="15" xfId="12" applyFont="1" applyBorder="1" applyAlignment="1">
      <alignment horizontal="center" vertical="center"/>
    </xf>
    <xf numFmtId="2" fontId="5" fillId="0" borderId="15" xfId="15" applyNumberFormat="1" applyFont="1" applyBorder="1" applyAlignment="1" applyProtection="1">
      <alignment horizontal="justify" vertical="justify" wrapText="1"/>
      <protection locked="0"/>
    </xf>
    <xf numFmtId="0" fontId="7" fillId="4" borderId="15" xfId="15" applyFont="1" applyFill="1" applyBorder="1" applyAlignment="1">
      <alignment horizontal="justify" wrapText="1"/>
    </xf>
    <xf numFmtId="0" fontId="7" fillId="4" borderId="15" xfId="15" applyFont="1" applyFill="1" applyBorder="1" applyAlignment="1">
      <alignment horizontal="center" wrapText="1"/>
    </xf>
    <xf numFmtId="4" fontId="10" fillId="4" borderId="15" xfId="15" applyNumberFormat="1" applyFill="1" applyBorder="1" applyAlignment="1">
      <alignment horizontal="right" wrapText="1"/>
    </xf>
    <xf numFmtId="4" fontId="7" fillId="4" borderId="15" xfId="15" applyNumberFormat="1" applyFont="1" applyFill="1" applyBorder="1" applyAlignment="1">
      <alignment wrapText="1"/>
    </xf>
    <xf numFmtId="4" fontId="5" fillId="4" borderId="15" xfId="15" applyNumberFormat="1" applyFont="1" applyFill="1" applyBorder="1" applyAlignment="1">
      <alignment wrapText="1"/>
    </xf>
    <xf numFmtId="0" fontId="5" fillId="0" borderId="15" xfId="15" applyFont="1" applyBorder="1" applyAlignment="1">
      <alignment horizontal="justify" wrapText="1"/>
    </xf>
    <xf numFmtId="0" fontId="7" fillId="5" borderId="15" xfId="15" applyFont="1" applyFill="1" applyBorder="1" applyAlignment="1">
      <alignment horizontal="left" wrapText="1"/>
    </xf>
    <xf numFmtId="0" fontId="5" fillId="5" borderId="15" xfId="15" applyFont="1" applyFill="1" applyBorder="1" applyAlignment="1">
      <alignment horizontal="center" wrapText="1"/>
    </xf>
    <xf numFmtId="4" fontId="13" fillId="5" borderId="15" xfId="15" applyNumberFormat="1" applyFont="1" applyFill="1" applyBorder="1" applyAlignment="1">
      <alignment horizontal="right" wrapText="1"/>
    </xf>
    <xf numFmtId="4" fontId="5" fillId="5" borderId="15" xfId="15" applyNumberFormat="1" applyFont="1" applyFill="1" applyBorder="1" applyAlignment="1">
      <alignment wrapText="1"/>
    </xf>
    <xf numFmtId="0" fontId="32" fillId="0" borderId="15" xfId="15" applyFont="1" applyBorder="1" applyAlignment="1">
      <alignment horizontal="left" vertical="top" wrapText="1"/>
    </xf>
    <xf numFmtId="0" fontId="10" fillId="0" borderId="15" xfId="15" applyBorder="1" applyAlignment="1">
      <alignment horizontal="center" vertical="center"/>
    </xf>
    <xf numFmtId="4" fontId="13" fillId="0" borderId="15" xfId="15" applyNumberFormat="1" applyFont="1" applyBorder="1" applyAlignment="1">
      <alignment wrapText="1"/>
    </xf>
    <xf numFmtId="4" fontId="13" fillId="0" borderId="15" xfId="15" applyNumberFormat="1" applyFont="1" applyBorder="1"/>
    <xf numFmtId="0" fontId="32" fillId="0" borderId="15" xfId="15" applyFont="1" applyBorder="1" applyAlignment="1">
      <alignment horizontal="left" vertical="center" wrapText="1"/>
    </xf>
    <xf numFmtId="0" fontId="7" fillId="0" borderId="36" xfId="15" applyFont="1" applyBorder="1" applyAlignment="1">
      <alignment horizontal="center" vertical="center" wrapText="1"/>
    </xf>
    <xf numFmtId="0" fontId="7" fillId="4" borderId="15" xfId="15" applyFont="1" applyFill="1" applyBorder="1" applyAlignment="1">
      <alignment horizontal="left" wrapText="1"/>
    </xf>
    <xf numFmtId="0" fontId="7" fillId="0" borderId="0" xfId="15" applyFont="1" applyAlignment="1">
      <alignment vertical="center"/>
    </xf>
    <xf numFmtId="0" fontId="5" fillId="6" borderId="15" xfId="15" applyFont="1" applyFill="1" applyBorder="1" applyAlignment="1">
      <alignment horizontal="left" wrapText="1"/>
    </xf>
    <xf numFmtId="0" fontId="7" fillId="6" borderId="15" xfId="15" applyFont="1" applyFill="1" applyBorder="1" applyAlignment="1">
      <alignment horizontal="center"/>
    </xf>
    <xf numFmtId="4" fontId="10" fillId="6" borderId="15" xfId="15" applyNumberFormat="1" applyFill="1" applyBorder="1" applyAlignment="1">
      <alignment horizontal="right" wrapText="1"/>
    </xf>
    <xf numFmtId="4" fontId="7" fillId="6" borderId="15" xfId="15" applyNumberFormat="1" applyFont="1" applyFill="1" applyBorder="1" applyAlignment="1">
      <alignment wrapText="1"/>
    </xf>
    <xf numFmtId="4" fontId="5" fillId="6" borderId="15" xfId="15" applyNumberFormat="1" applyFont="1" applyFill="1" applyBorder="1" applyAlignment="1">
      <alignment wrapText="1"/>
    </xf>
    <xf numFmtId="4" fontId="10" fillId="0" borderId="0" xfId="15" applyNumberFormat="1" applyAlignment="1">
      <alignment horizontal="right" wrapText="1"/>
    </xf>
    <xf numFmtId="4" fontId="7" fillId="0" borderId="0" xfId="15" applyNumberFormat="1" applyFont="1" applyAlignment="1">
      <alignment wrapText="1"/>
    </xf>
    <xf numFmtId="4" fontId="5" fillId="0" borderId="0" xfId="15" applyNumberFormat="1" applyFont="1" applyAlignment="1">
      <alignment wrapText="1"/>
    </xf>
    <xf numFmtId="0" fontId="5" fillId="0" borderId="0" xfId="15" applyFont="1" applyAlignment="1">
      <alignment wrapText="1"/>
    </xf>
    <xf numFmtId="0" fontId="7" fillId="0" borderId="0" xfId="15" applyFont="1" applyAlignment="1">
      <alignment horizontal="center" vertical="center" wrapText="1"/>
    </xf>
    <xf numFmtId="0" fontId="7" fillId="0" borderId="0" xfId="2" quotePrefix="1" applyFont="1" applyAlignment="1">
      <alignment horizontal="right" vertical="top"/>
    </xf>
    <xf numFmtId="49" fontId="7" fillId="0" borderId="0" xfId="0" applyNumberFormat="1" applyFont="1" applyAlignment="1">
      <alignment horizontal="left" vertical="top" wrapText="1"/>
    </xf>
    <xf numFmtId="0" fontId="7" fillId="0" borderId="0" xfId="0" quotePrefix="1" applyFont="1" applyAlignment="1">
      <alignment horizontal="left" vertical="top" wrapText="1"/>
    </xf>
    <xf numFmtId="0" fontId="37" fillId="0" borderId="0" xfId="13" applyNumberFormat="1" applyFont="1" applyAlignment="1">
      <alignment horizontal="center" vertical="top"/>
    </xf>
    <xf numFmtId="0" fontId="36" fillId="0" borderId="0" xfId="13" applyNumberFormat="1" applyFont="1" applyAlignment="1">
      <alignment horizontal="center" vertical="top" wrapText="1"/>
    </xf>
    <xf numFmtId="0" fontId="37" fillId="0" borderId="0" xfId="13" applyNumberFormat="1" applyFont="1" applyAlignment="1">
      <alignment horizontal="center"/>
    </xf>
    <xf numFmtId="0" fontId="37" fillId="0" borderId="0" xfId="13" applyNumberFormat="1" applyFont="1" applyAlignment="1">
      <alignment horizontal="right"/>
    </xf>
    <xf numFmtId="4" fontId="37" fillId="0" borderId="0" xfId="13" applyNumberFormat="1" applyFont="1"/>
    <xf numFmtId="0" fontId="37" fillId="0" borderId="0" xfId="13" applyNumberFormat="1" applyFont="1"/>
    <xf numFmtId="0" fontId="37" fillId="0" borderId="0" xfId="13" applyNumberFormat="1" applyFont="1" applyAlignment="1">
      <alignment vertical="top" wrapText="1"/>
    </xf>
    <xf numFmtId="0" fontId="37" fillId="0" borderId="40" xfId="13" applyNumberFormat="1" applyFont="1" applyBorder="1" applyAlignment="1">
      <alignment horizontal="center" vertical="top" wrapText="1"/>
    </xf>
    <xf numFmtId="0" fontId="37" fillId="0" borderId="39" xfId="13" applyNumberFormat="1" applyFont="1" applyBorder="1" applyAlignment="1">
      <alignment horizontal="center" vertical="center" wrapText="1"/>
    </xf>
    <xf numFmtId="0" fontId="37" fillId="0" borderId="41" xfId="13" applyNumberFormat="1" applyFont="1" applyBorder="1" applyAlignment="1">
      <alignment horizontal="center" vertical="center" wrapText="1"/>
    </xf>
    <xf numFmtId="0" fontId="36" fillId="0" borderId="0" xfId="13" applyNumberFormat="1" applyFont="1" applyAlignment="1">
      <alignment vertical="top" wrapText="1"/>
    </xf>
    <xf numFmtId="165" fontId="37" fillId="0" borderId="0" xfId="13" applyNumberFormat="1" applyFont="1" applyAlignment="1">
      <alignment horizontal="right"/>
    </xf>
    <xf numFmtId="2" fontId="37" fillId="0" borderId="0" xfId="13" applyNumberFormat="1" applyFont="1" applyAlignment="1">
      <alignment horizontal="right"/>
    </xf>
    <xf numFmtId="165" fontId="37" fillId="0" borderId="0" xfId="13" applyNumberFormat="1" applyFont="1" applyAlignment="1">
      <alignment horizontal="center" vertical="top"/>
    </xf>
    <xf numFmtId="2" fontId="37" fillId="0" borderId="0" xfId="13" applyNumberFormat="1" applyFont="1" applyAlignment="1">
      <alignment horizontal="center" vertical="top"/>
    </xf>
    <xf numFmtId="0" fontId="44" fillId="0" borderId="0" xfId="13" applyNumberFormat="1" applyFont="1" applyAlignment="1">
      <alignment horizontal="center" vertical="top"/>
    </xf>
    <xf numFmtId="0" fontId="37" fillId="0" borderId="0" xfId="13" applyNumberFormat="1" applyFont="1" applyAlignment="1">
      <alignment horizontal="left" vertical="top" wrapText="1"/>
    </xf>
    <xf numFmtId="0" fontId="37" fillId="0" borderId="0" xfId="13" applyNumberFormat="1" applyFont="1" applyAlignment="1">
      <alignment horizontal="center" vertical="top" wrapText="1"/>
    </xf>
    <xf numFmtId="1" fontId="37" fillId="0" borderId="0" xfId="13" applyNumberFormat="1" applyFont="1" applyAlignment="1">
      <alignment horizontal="right" vertical="top"/>
    </xf>
    <xf numFmtId="0" fontId="44" fillId="0" borderId="0" xfId="13" applyNumberFormat="1" applyFont="1"/>
    <xf numFmtId="0" fontId="37" fillId="0" borderId="33" xfId="13" applyNumberFormat="1" applyFont="1" applyBorder="1" applyAlignment="1">
      <alignment horizontal="left" vertical="top" wrapText="1"/>
    </xf>
    <xf numFmtId="0" fontId="37" fillId="0" borderId="33" xfId="13" applyNumberFormat="1" applyFont="1" applyBorder="1" applyAlignment="1">
      <alignment horizontal="center" vertical="top" wrapText="1"/>
    </xf>
    <xf numFmtId="1" fontId="37" fillId="0" borderId="33" xfId="13" applyNumberFormat="1" applyFont="1" applyBorder="1" applyAlignment="1">
      <alignment horizontal="right" vertical="top"/>
    </xf>
    <xf numFmtId="4" fontId="37" fillId="0" borderId="33" xfId="13" applyNumberFormat="1" applyFont="1" applyBorder="1"/>
    <xf numFmtId="0" fontId="44" fillId="0" borderId="33" xfId="13" applyNumberFormat="1" applyFont="1" applyBorder="1"/>
    <xf numFmtId="0" fontId="37" fillId="0" borderId="0" xfId="13" applyNumberFormat="1" applyFont="1" applyAlignment="1">
      <alignment vertical="top"/>
    </xf>
    <xf numFmtId="0" fontId="37" fillId="0" borderId="0" xfId="13" applyNumberFormat="1" applyFont="1" applyAlignment="1">
      <alignment horizontal="justify"/>
    </xf>
    <xf numFmtId="0" fontId="39" fillId="0" borderId="0" xfId="13" applyNumberFormat="1" applyFont="1" applyAlignment="1">
      <alignment vertical="top" wrapText="1"/>
    </xf>
    <xf numFmtId="2" fontId="37" fillId="0" borderId="0" xfId="13" applyNumberFormat="1" applyFont="1" applyAlignment="1">
      <alignment horizontal="center" vertical="top" wrapText="1"/>
    </xf>
    <xf numFmtId="0" fontId="37" fillId="0" borderId="0" xfId="13" applyNumberFormat="1" applyFont="1" applyAlignment="1">
      <alignment horizontal="center" wrapText="1"/>
    </xf>
    <xf numFmtId="0" fontId="37" fillId="0" borderId="0" xfId="13" applyNumberFormat="1" applyFont="1" applyAlignment="1">
      <alignment horizontal="justify" vertical="top" wrapText="1"/>
    </xf>
    <xf numFmtId="0" fontId="37" fillId="0" borderId="0" xfId="13" applyNumberFormat="1" applyFont="1" applyAlignment="1">
      <alignment wrapText="1"/>
    </xf>
    <xf numFmtId="3" fontId="40" fillId="0" borderId="0" xfId="13" applyNumberFormat="1" applyFont="1" applyAlignment="1">
      <alignment horizontal="right"/>
    </xf>
    <xf numFmtId="0" fontId="37" fillId="0" borderId="33" xfId="13" applyNumberFormat="1" applyFont="1" applyBorder="1" applyAlignment="1">
      <alignment horizontal="center" vertical="top"/>
    </xf>
    <xf numFmtId="0" fontId="37" fillId="0" borderId="33" xfId="13" applyNumberFormat="1" applyFont="1" applyBorder="1" applyAlignment="1">
      <alignment horizontal="justify" vertical="top" wrapText="1"/>
    </xf>
    <xf numFmtId="0" fontId="37" fillId="0" borderId="33" xfId="13" applyNumberFormat="1" applyFont="1" applyBorder="1" applyAlignment="1">
      <alignment horizontal="center"/>
    </xf>
    <xf numFmtId="2" fontId="37" fillId="0" borderId="33" xfId="13" applyNumberFormat="1" applyFont="1" applyBorder="1"/>
    <xf numFmtId="0" fontId="37" fillId="0" borderId="33" xfId="13" applyNumberFormat="1" applyFont="1" applyBorder="1"/>
    <xf numFmtId="0" fontId="37" fillId="0" borderId="0" xfId="13" applyNumberFormat="1" applyFont="1" applyAlignment="1" applyProtection="1">
      <alignment horizontal="center" vertical="top"/>
      <protection locked="0"/>
    </xf>
    <xf numFmtId="0" fontId="37" fillId="0" borderId="0" xfId="13" applyNumberFormat="1" applyFont="1" applyAlignment="1" applyProtection="1">
      <alignment vertical="top" wrapText="1"/>
      <protection locked="0"/>
    </xf>
    <xf numFmtId="0" fontId="37" fillId="0" borderId="0" xfId="13" applyNumberFormat="1" applyFont="1" applyAlignment="1" applyProtection="1">
      <alignment horizontal="justify" vertical="top" wrapText="1"/>
      <protection locked="0"/>
    </xf>
    <xf numFmtId="0" fontId="36" fillId="0" borderId="0" xfId="13" applyNumberFormat="1" applyFont="1" applyAlignment="1" applyProtection="1">
      <alignment horizontal="center" vertical="top"/>
      <protection locked="0"/>
    </xf>
    <xf numFmtId="0" fontId="36" fillId="0" borderId="33" xfId="13" applyNumberFormat="1" applyFont="1" applyBorder="1" applyAlignment="1" applyProtection="1">
      <alignment horizontal="center" vertical="top"/>
      <protection locked="0"/>
    </xf>
    <xf numFmtId="0" fontId="36" fillId="0" borderId="33" xfId="13" applyNumberFormat="1" applyFont="1" applyBorder="1" applyAlignment="1">
      <alignment vertical="top" wrapText="1"/>
    </xf>
    <xf numFmtId="0" fontId="36" fillId="0" borderId="0" xfId="13" applyNumberFormat="1" applyFont="1" applyAlignment="1">
      <alignment horizontal="right" vertical="top" wrapText="1"/>
    </xf>
    <xf numFmtId="0" fontId="37" fillId="0" borderId="0" xfId="13" applyNumberFormat="1" applyFont="1" applyAlignment="1">
      <alignment horizontal="right" vertical="top" wrapText="1"/>
    </xf>
    <xf numFmtId="0" fontId="37" fillId="0" borderId="42" xfId="13" applyNumberFormat="1" applyFont="1" applyBorder="1" applyAlignment="1">
      <alignment horizontal="center" vertical="center" wrapText="1"/>
    </xf>
    <xf numFmtId="0" fontId="37" fillId="0" borderId="42" xfId="13" applyNumberFormat="1" applyFont="1" applyBorder="1" applyAlignment="1">
      <alignment horizontal="center" wrapText="1"/>
    </xf>
    <xf numFmtId="0" fontId="37" fillId="0" borderId="0" xfId="13" applyNumberFormat="1" applyFont="1" applyAlignment="1">
      <alignment vertical="center"/>
    </xf>
    <xf numFmtId="0" fontId="36" fillId="0" borderId="0" xfId="13" applyNumberFormat="1" applyFont="1" applyAlignment="1">
      <alignment horizontal="center"/>
    </xf>
    <xf numFmtId="1" fontId="37" fillId="0" borderId="0" xfId="13" applyNumberFormat="1" applyFont="1" applyAlignment="1">
      <alignment horizontal="right"/>
    </xf>
    <xf numFmtId="165" fontId="37" fillId="0" borderId="0" xfId="13" applyNumberFormat="1" applyFont="1" applyAlignment="1">
      <alignment wrapText="1"/>
    </xf>
    <xf numFmtId="168" fontId="37" fillId="0" borderId="0" xfId="13" applyFont="1" applyAlignment="1">
      <alignment vertical="top" wrapText="1"/>
    </xf>
    <xf numFmtId="0" fontId="37" fillId="0" borderId="33" xfId="13" applyNumberFormat="1" applyFont="1" applyBorder="1" applyAlignment="1">
      <alignment vertical="top" wrapText="1"/>
    </xf>
    <xf numFmtId="0" fontId="37" fillId="0" borderId="33" xfId="13" applyNumberFormat="1" applyFont="1" applyBorder="1" applyAlignment="1">
      <alignment horizontal="center" wrapText="1"/>
    </xf>
    <xf numFmtId="0" fontId="37" fillId="0" borderId="0" xfId="13" applyNumberFormat="1" applyFont="1" applyAlignment="1">
      <alignment horizontal="justify" wrapText="1"/>
    </xf>
    <xf numFmtId="1" fontId="37" fillId="0" borderId="33" xfId="13" applyNumberFormat="1" applyFont="1" applyBorder="1" applyAlignment="1">
      <alignment horizontal="right"/>
    </xf>
    <xf numFmtId="9" fontId="37" fillId="0" borderId="0" xfId="13" applyNumberFormat="1" applyFont="1" applyAlignment="1">
      <alignment horizontal="right"/>
    </xf>
    <xf numFmtId="2" fontId="7" fillId="7" borderId="0" xfId="0" applyNumberFormat="1" applyFont="1" applyFill="1" applyAlignment="1">
      <alignment horizontal="right" vertical="center" wrapText="1"/>
    </xf>
    <xf numFmtId="0" fontId="7" fillId="0" borderId="0" xfId="0" applyFont="1" applyAlignment="1">
      <alignment horizontal="left" vertical="center"/>
    </xf>
    <xf numFmtId="43" fontId="7" fillId="2" borderId="0" xfId="1" applyFont="1" applyFill="1" applyAlignment="1">
      <alignment horizontal="right" vertical="center"/>
    </xf>
    <xf numFmtId="0" fontId="7" fillId="0" borderId="0" xfId="8" applyNumberFormat="1" applyFont="1" applyFill="1" applyBorder="1" applyAlignment="1" applyProtection="1">
      <alignment horizontal="left" wrapText="1"/>
    </xf>
    <xf numFmtId="0" fontId="7" fillId="0" borderId="0" xfId="8" applyNumberFormat="1" applyFont="1" applyFill="1" applyBorder="1" applyAlignment="1" applyProtection="1">
      <alignment horizontal="left" vertical="top" wrapText="1"/>
    </xf>
    <xf numFmtId="0" fontId="7" fillId="0" borderId="0" xfId="2" applyFont="1" applyAlignment="1">
      <alignment horizontal="left"/>
    </xf>
    <xf numFmtId="0" fontId="7" fillId="0" borderId="0" xfId="2" applyFont="1" applyAlignment="1">
      <alignment horizontal="right" wrapText="1"/>
    </xf>
    <xf numFmtId="43" fontId="7" fillId="2" borderId="0" xfId="1" applyFont="1" applyFill="1" applyBorder="1" applyAlignment="1">
      <alignment horizontal="right" vertical="center"/>
    </xf>
    <xf numFmtId="0" fontId="5" fillId="0" borderId="0" xfId="0" applyFont="1" applyAlignment="1">
      <alignment vertical="top"/>
    </xf>
    <xf numFmtId="0" fontId="10" fillId="0" borderId="0" xfId="0" applyFont="1" applyAlignment="1">
      <alignment horizontal="right" vertical="center" wrapText="1"/>
    </xf>
    <xf numFmtId="43" fontId="7" fillId="0" borderId="0" xfId="1" applyFont="1" applyAlignment="1">
      <alignment horizontal="left" vertical="center"/>
    </xf>
    <xf numFmtId="2" fontId="7" fillId="0" borderId="0" xfId="2" applyNumberFormat="1" applyFont="1" applyAlignment="1">
      <alignment horizontal="center" vertical="top" wrapText="1"/>
    </xf>
    <xf numFmtId="43" fontId="7" fillId="0" borderId="0" xfId="0" applyNumberFormat="1" applyFont="1" applyAlignment="1">
      <alignment horizontal="right" vertical="center"/>
    </xf>
    <xf numFmtId="2" fontId="5" fillId="0" borderId="0" xfId="2" applyNumberFormat="1" applyFont="1" applyAlignment="1">
      <alignment horizontal="left" vertical="top" wrapText="1"/>
    </xf>
    <xf numFmtId="0" fontId="1" fillId="0" borderId="0" xfId="10"/>
    <xf numFmtId="0" fontId="1" fillId="0" borderId="0" xfId="10" applyAlignment="1">
      <alignment vertical="center"/>
    </xf>
    <xf numFmtId="0" fontId="15" fillId="0" borderId="1" xfId="10" applyFont="1" applyBorder="1" applyAlignment="1">
      <alignment horizontal="center" vertical="top"/>
    </xf>
    <xf numFmtId="0" fontId="17" fillId="0" borderId="1" xfId="10" applyFont="1" applyBorder="1" applyAlignment="1">
      <alignment horizontal="center" vertical="top"/>
    </xf>
    <xf numFmtId="0" fontId="14" fillId="0" borderId="5" xfId="10" applyFont="1" applyBorder="1" applyAlignment="1">
      <alignment vertical="center"/>
    </xf>
    <xf numFmtId="0" fontId="17" fillId="0" borderId="6" xfId="10" applyFont="1" applyBorder="1" applyAlignment="1">
      <alignment horizontal="center"/>
    </xf>
    <xf numFmtId="1" fontId="17" fillId="0" borderId="6" xfId="10" applyNumberFormat="1" applyFont="1" applyBorder="1" applyAlignment="1">
      <alignment horizontal="center"/>
    </xf>
    <xf numFmtId="4" fontId="18" fillId="0" borderId="6" xfId="10" applyNumberFormat="1" applyFont="1" applyBorder="1"/>
    <xf numFmtId="4" fontId="17" fillId="0" borderId="7" xfId="10" applyNumberFormat="1" applyFont="1" applyBorder="1"/>
    <xf numFmtId="0" fontId="19" fillId="0" borderId="1" xfId="10" applyFont="1" applyBorder="1" applyAlignment="1">
      <alignment horizontal="center" vertical="top"/>
    </xf>
    <xf numFmtId="0" fontId="19" fillId="0" borderId="5" xfId="10" applyFont="1" applyBorder="1" applyAlignment="1">
      <alignment horizontal="center" vertical="center"/>
    </xf>
    <xf numFmtId="0" fontId="19" fillId="0" borderId="6" xfId="10" applyFont="1" applyBorder="1" applyAlignment="1">
      <alignment horizontal="center" wrapText="1"/>
    </xf>
    <xf numFmtId="1" fontId="19" fillId="0" borderId="6" xfId="10" applyNumberFormat="1" applyFont="1" applyBorder="1" applyAlignment="1">
      <alignment horizontal="center" wrapText="1"/>
    </xf>
    <xf numFmtId="4" fontId="20" fillId="0" borderId="6" xfId="10" applyNumberFormat="1" applyFont="1" applyBorder="1" applyAlignment="1">
      <alignment wrapText="1"/>
    </xf>
    <xf numFmtId="4" fontId="19" fillId="0" borderId="7" xfId="10" applyNumberFormat="1" applyFont="1" applyBorder="1" applyAlignment="1">
      <alignment wrapText="1"/>
    </xf>
    <xf numFmtId="0" fontId="21" fillId="0" borderId="1" xfId="10" applyFont="1" applyBorder="1" applyAlignment="1">
      <alignment horizontal="center" vertical="center" wrapText="1"/>
    </xf>
    <xf numFmtId="0" fontId="16" fillId="0" borderId="3" xfId="10" applyFont="1" applyBorder="1" applyAlignment="1">
      <alignment vertical="center" wrapText="1"/>
    </xf>
    <xf numFmtId="0" fontId="22" fillId="0" borderId="6" xfId="10" applyFont="1" applyBorder="1" applyAlignment="1">
      <alignment horizontal="center" vertical="center"/>
    </xf>
    <xf numFmtId="0" fontId="22" fillId="0" borderId="6" xfId="10" applyFont="1" applyBorder="1" applyAlignment="1">
      <alignment wrapText="1"/>
    </xf>
    <xf numFmtId="4" fontId="23" fillId="0" borderId="6" xfId="10" applyNumberFormat="1" applyFont="1" applyBorder="1"/>
    <xf numFmtId="4" fontId="23" fillId="0" borderId="7" xfId="10" applyNumberFormat="1" applyFont="1" applyBorder="1"/>
    <xf numFmtId="0" fontId="21" fillId="0" borderId="11" xfId="10" applyFont="1" applyBorder="1" applyAlignment="1">
      <alignment horizontal="center" vertical="center" wrapText="1"/>
    </xf>
    <xf numFmtId="0" fontId="16" fillId="0" borderId="33" xfId="10" applyFont="1" applyBorder="1" applyAlignment="1">
      <alignment vertical="center" wrapText="1"/>
    </xf>
    <xf numFmtId="0" fontId="22" fillId="0" borderId="12" xfId="10" applyFont="1" applyBorder="1" applyAlignment="1">
      <alignment horizontal="center" vertical="center"/>
    </xf>
    <xf numFmtId="0" fontId="22" fillId="0" borderId="12" xfId="10" applyFont="1" applyBorder="1" applyAlignment="1">
      <alignment wrapText="1"/>
    </xf>
    <xf numFmtId="4" fontId="23" fillId="0" borderId="12" xfId="10" applyNumberFormat="1" applyFont="1" applyBorder="1"/>
    <xf numFmtId="4" fontId="23" fillId="0" borderId="34" xfId="10" applyNumberFormat="1" applyFont="1" applyBorder="1"/>
    <xf numFmtId="0" fontId="16" fillId="0" borderId="9" xfId="11" applyFont="1" applyBorder="1" applyAlignment="1">
      <alignment horizontal="left" vertical="center" wrapText="1"/>
    </xf>
    <xf numFmtId="0" fontId="22" fillId="0" borderId="9" xfId="10" applyFont="1" applyBorder="1" applyAlignment="1">
      <alignment horizontal="center"/>
    </xf>
    <xf numFmtId="0" fontId="22" fillId="0" borderId="9" xfId="10" applyFont="1" applyBorder="1"/>
    <xf numFmtId="4" fontId="23" fillId="0" borderId="9" xfId="10" applyNumberFormat="1" applyFont="1" applyBorder="1"/>
    <xf numFmtId="4" fontId="23" fillId="0" borderId="10" xfId="10" applyNumberFormat="1" applyFont="1" applyBorder="1"/>
    <xf numFmtId="0" fontId="16" fillId="0" borderId="15" xfId="10" applyFont="1" applyBorder="1" applyAlignment="1">
      <alignment horizontal="left" vertical="center"/>
    </xf>
    <xf numFmtId="0" fontId="24" fillId="0" borderId="15" xfId="10" applyFont="1" applyBorder="1" applyAlignment="1">
      <alignment horizontal="center"/>
    </xf>
    <xf numFmtId="0" fontId="22" fillId="0" borderId="15" xfId="10" applyFont="1" applyBorder="1"/>
    <xf numFmtId="4" fontId="23" fillId="0" borderId="15" xfId="10" applyNumberFormat="1" applyFont="1" applyBorder="1"/>
    <xf numFmtId="4" fontId="23" fillId="0" borderId="16" xfId="10" applyNumberFormat="1" applyFont="1" applyBorder="1"/>
    <xf numFmtId="0" fontId="16" fillId="0" borderId="18" xfId="10" applyFont="1" applyBorder="1" applyAlignment="1">
      <alignment horizontal="left" vertical="center"/>
    </xf>
    <xf numFmtId="0" fontId="24" fillId="0" borderId="18" xfId="10" applyFont="1" applyBorder="1" applyAlignment="1">
      <alignment horizontal="center"/>
    </xf>
    <xf numFmtId="0" fontId="22" fillId="0" borderId="18" xfId="10" applyFont="1" applyBorder="1"/>
    <xf numFmtId="4" fontId="23" fillId="0" borderId="18" xfId="10" applyNumberFormat="1" applyFont="1" applyBorder="1"/>
    <xf numFmtId="4" fontId="23" fillId="0" borderId="19" xfId="10" applyNumberFormat="1" applyFont="1" applyBorder="1"/>
    <xf numFmtId="0" fontId="16" fillId="0" borderId="9" xfId="10" applyFont="1" applyBorder="1" applyAlignment="1">
      <alignment horizontal="left" vertical="center"/>
    </xf>
    <xf numFmtId="0" fontId="16" fillId="0" borderId="21" xfId="10" applyFont="1" applyBorder="1" applyAlignment="1">
      <alignment horizontal="left" vertical="center"/>
    </xf>
    <xf numFmtId="0" fontId="24" fillId="0" borderId="21" xfId="10" applyFont="1" applyBorder="1" applyAlignment="1">
      <alignment horizontal="center"/>
    </xf>
    <xf numFmtId="0" fontId="22" fillId="0" borderId="21" xfId="10" applyFont="1" applyBorder="1"/>
    <xf numFmtId="4" fontId="23" fillId="0" borderId="21" xfId="10" applyNumberFormat="1" applyFont="1" applyBorder="1"/>
    <xf numFmtId="4" fontId="23" fillId="0" borderId="22" xfId="10" applyNumberFormat="1" applyFont="1" applyBorder="1"/>
    <xf numFmtId="0" fontId="21" fillId="0" borderId="23" xfId="10" applyFont="1" applyBorder="1" applyAlignment="1">
      <alignment horizontal="center" vertical="top"/>
    </xf>
    <xf numFmtId="0" fontId="16" fillId="0" borderId="24" xfId="10" applyFont="1" applyBorder="1" applyAlignment="1">
      <alignment horizontal="left" vertical="center" wrapText="1"/>
    </xf>
    <xf numFmtId="9" fontId="22" fillId="0" borderId="25" xfId="10" applyNumberFormat="1" applyFont="1" applyBorder="1" applyAlignment="1">
      <alignment horizontal="center"/>
    </xf>
    <xf numFmtId="0" fontId="22" fillId="0" borderId="25" xfId="10" applyFont="1" applyBorder="1"/>
    <xf numFmtId="4" fontId="23" fillId="0" borderId="25" xfId="10" applyNumberFormat="1" applyFont="1" applyBorder="1"/>
    <xf numFmtId="4" fontId="23" fillId="0" borderId="26" xfId="10" applyNumberFormat="1" applyFont="1" applyBorder="1"/>
    <xf numFmtId="0" fontId="21" fillId="0" borderId="1" xfId="10" applyFont="1" applyBorder="1" applyAlignment="1">
      <alignment horizontal="center" vertical="top"/>
    </xf>
    <xf numFmtId="0" fontId="16" fillId="0" borderId="27" xfId="10" applyFont="1" applyBorder="1" applyAlignment="1">
      <alignment horizontal="left" vertical="center" wrapText="1"/>
    </xf>
    <xf numFmtId="0" fontId="22" fillId="0" borderId="6" xfId="10" applyFont="1" applyBorder="1" applyAlignment="1">
      <alignment horizontal="center"/>
    </xf>
    <xf numFmtId="0" fontId="22" fillId="0" borderId="6" xfId="10" applyFont="1" applyBorder="1"/>
    <xf numFmtId="0" fontId="21" fillId="0" borderId="8" xfId="10" applyFont="1" applyBorder="1" applyAlignment="1">
      <alignment horizontal="center" vertical="top"/>
    </xf>
    <xf numFmtId="0" fontId="16" fillId="0" borderId="28" xfId="11" applyFont="1" applyBorder="1" applyAlignment="1">
      <alignment horizontal="left" vertical="center" wrapText="1"/>
    </xf>
    <xf numFmtId="0" fontId="21" fillId="0" borderId="29" xfId="10" applyFont="1" applyBorder="1" applyAlignment="1">
      <alignment horizontal="center" vertical="top"/>
    </xf>
    <xf numFmtId="0" fontId="16" fillId="0" borderId="30" xfId="11" applyFont="1" applyBorder="1" applyAlignment="1">
      <alignment horizontal="left" vertical="center" wrapText="1"/>
    </xf>
    <xf numFmtId="0" fontId="16" fillId="0" borderId="32" xfId="10" applyFont="1" applyBorder="1" applyAlignment="1">
      <alignment vertical="center" wrapText="1"/>
    </xf>
    <xf numFmtId="0" fontId="22" fillId="0" borderId="25" xfId="10" applyFont="1" applyBorder="1" applyAlignment="1">
      <alignment horizontal="center"/>
    </xf>
    <xf numFmtId="4" fontId="23" fillId="0" borderId="31" xfId="10" applyNumberFormat="1" applyFont="1" applyBorder="1"/>
    <xf numFmtId="0" fontId="14" fillId="0" borderId="5" xfId="10" applyFont="1" applyBorder="1" applyAlignment="1">
      <alignment vertical="center" wrapText="1"/>
    </xf>
    <xf numFmtId="0" fontId="14" fillId="0" borderId="6" xfId="10" applyFont="1" applyBorder="1" applyAlignment="1">
      <alignment horizontal="center"/>
    </xf>
    <xf numFmtId="0" fontId="14" fillId="0" borderId="6" xfId="10" applyFont="1" applyBorder="1"/>
    <xf numFmtId="4" fontId="14" fillId="0" borderId="6" xfId="10" applyNumberFormat="1" applyFont="1" applyBorder="1"/>
    <xf numFmtId="4" fontId="14" fillId="0" borderId="7" xfId="10" applyNumberFormat="1" applyFont="1" applyBorder="1"/>
    <xf numFmtId="0" fontId="37" fillId="0" borderId="43" xfId="13" applyNumberFormat="1" applyFont="1" applyBorder="1" applyAlignment="1">
      <alignment horizontal="center" vertical="center" wrapText="1"/>
    </xf>
    <xf numFmtId="4" fontId="37" fillId="0" borderId="15" xfId="13" applyNumberFormat="1" applyFont="1" applyBorder="1" applyAlignment="1">
      <alignment vertical="center"/>
    </xf>
    <xf numFmtId="0" fontId="6" fillId="0" borderId="36" xfId="15" applyFont="1" applyBorder="1" applyAlignment="1">
      <alignment vertical="center"/>
    </xf>
    <xf numFmtId="49" fontId="9" fillId="0" borderId="36" xfId="15" applyNumberFormat="1" applyFont="1" applyBorder="1" applyAlignment="1">
      <alignment wrapText="1"/>
    </xf>
    <xf numFmtId="0" fontId="6" fillId="0" borderId="36" xfId="15" applyFont="1" applyBorder="1"/>
    <xf numFmtId="4" fontId="11" fillId="0" borderId="36" xfId="15" applyNumberFormat="1" applyFont="1" applyBorder="1" applyAlignment="1">
      <alignment horizontal="right"/>
    </xf>
    <xf numFmtId="4" fontId="6" fillId="0" borderId="36" xfId="15" applyNumberFormat="1" applyFont="1" applyBorder="1"/>
    <xf numFmtId="4" fontId="9" fillId="0" borderId="36" xfId="15" applyNumberFormat="1" applyFont="1" applyBorder="1"/>
    <xf numFmtId="0" fontId="7" fillId="0" borderId="33" xfId="15" applyFont="1" applyBorder="1" applyAlignment="1">
      <alignment vertical="center" wrapText="1"/>
    </xf>
    <xf numFmtId="0" fontId="7" fillId="0" borderId="33" xfId="15" applyFont="1" applyBorder="1" applyAlignment="1">
      <alignment wrapText="1"/>
    </xf>
    <xf numFmtId="4" fontId="10" fillId="0" borderId="33" xfId="15" applyNumberFormat="1" applyBorder="1" applyAlignment="1">
      <alignment horizontal="right" wrapText="1"/>
    </xf>
    <xf numFmtId="4" fontId="7" fillId="0" borderId="33" xfId="15" applyNumberFormat="1" applyFont="1" applyBorder="1" applyAlignment="1">
      <alignment wrapText="1"/>
    </xf>
    <xf numFmtId="4" fontId="5" fillId="0" borderId="33" xfId="15" applyNumberFormat="1" applyFont="1" applyBorder="1" applyAlignment="1">
      <alignment wrapText="1"/>
    </xf>
    <xf numFmtId="2" fontId="10" fillId="0" borderId="15" xfId="0" applyNumberFormat="1" applyFont="1" applyBorder="1" applyAlignment="1">
      <alignment horizontal="left" vertical="top" wrapText="1" indent="1"/>
    </xf>
    <xf numFmtId="43" fontId="10" fillId="0" borderId="15" xfId="1" applyFont="1" applyBorder="1" applyAlignment="1" applyProtection="1">
      <alignment horizontal="left" vertical="center" indent="1"/>
    </xf>
    <xf numFmtId="1" fontId="10" fillId="0" borderId="15" xfId="0" applyNumberFormat="1" applyFont="1" applyBorder="1" applyAlignment="1">
      <alignment horizontal="left" vertical="top" indent="1"/>
    </xf>
    <xf numFmtId="2" fontId="10" fillId="0" borderId="15" xfId="0" applyNumberFormat="1" applyFont="1" applyBorder="1" applyAlignment="1">
      <alignment horizontal="left" vertical="center" wrapText="1" indent="1"/>
    </xf>
    <xf numFmtId="0" fontId="11" fillId="0" borderId="15" xfId="0" applyFont="1" applyBorder="1"/>
    <xf numFmtId="43" fontId="11" fillId="0" borderId="15" xfId="1" applyFont="1" applyFill="1" applyBorder="1" applyAlignment="1">
      <alignment vertical="center"/>
    </xf>
    <xf numFmtId="43" fontId="10" fillId="0" borderId="15" xfId="1" applyFont="1" applyBorder="1" applyAlignment="1" applyProtection="1">
      <alignment horizontal="left" vertical="center"/>
    </xf>
    <xf numFmtId="43" fontId="41" fillId="0" borderId="0" xfId="18" applyNumberFormat="1" applyFont="1" applyAlignment="1">
      <alignment horizontal="right"/>
    </xf>
    <xf numFmtId="0" fontId="37" fillId="0" borderId="0" xfId="0" applyFont="1" applyAlignment="1">
      <alignment horizontal="center" vertical="top"/>
    </xf>
    <xf numFmtId="0" fontId="37" fillId="0" borderId="0" xfId="0" applyFont="1" applyAlignment="1">
      <alignment vertical="top" wrapText="1"/>
    </xf>
    <xf numFmtId="0" fontId="37" fillId="0" borderId="0" xfId="0" applyFont="1" applyAlignment="1">
      <alignment horizontal="center" wrapText="1"/>
    </xf>
    <xf numFmtId="0" fontId="37" fillId="0" borderId="0" xfId="0" applyFont="1" applyAlignment="1">
      <alignment horizontal="right"/>
    </xf>
    <xf numFmtId="0" fontId="37" fillId="0" borderId="0" xfId="0" applyFont="1"/>
    <xf numFmtId="165" fontId="37" fillId="0" borderId="0" xfId="0" applyNumberFormat="1" applyFont="1" applyAlignment="1">
      <alignment horizontal="right"/>
    </xf>
    <xf numFmtId="4" fontId="44" fillId="0" borderId="0" xfId="13" applyNumberFormat="1" applyFont="1"/>
    <xf numFmtId="0" fontId="44" fillId="0" borderId="0" xfId="0" applyFont="1"/>
    <xf numFmtId="4" fontId="44" fillId="0" borderId="33" xfId="13" applyNumberFormat="1" applyFont="1" applyBorder="1"/>
    <xf numFmtId="0" fontId="7" fillId="0" borderId="0" xfId="2" applyFont="1" applyAlignment="1">
      <alignment horizontal="center" vertical="top" wrapText="1"/>
    </xf>
    <xf numFmtId="49" fontId="7" fillId="0" borderId="0" xfId="2" applyNumberFormat="1" applyFont="1" applyAlignment="1">
      <alignment vertical="top" wrapText="1"/>
    </xf>
    <xf numFmtId="0" fontId="45" fillId="0" borderId="0" xfId="0" applyFont="1" applyAlignment="1">
      <alignment horizontal="left" vertical="center" wrapText="1"/>
    </xf>
    <xf numFmtId="0" fontId="7" fillId="0" borderId="0" xfId="4" applyFont="1" applyAlignment="1">
      <alignment horizontal="left" vertical="top" wrapText="1"/>
    </xf>
    <xf numFmtId="0" fontId="10" fillId="0" borderId="0" xfId="0" applyFont="1" applyAlignment="1">
      <alignment vertical="top" wrapText="1"/>
    </xf>
    <xf numFmtId="0" fontId="45" fillId="0" borderId="0" xfId="0" applyFont="1" applyAlignment="1">
      <alignment horizontal="right" vertical="center"/>
    </xf>
    <xf numFmtId="0" fontId="36" fillId="0" borderId="0" xfId="13" applyNumberFormat="1" applyFont="1" applyAlignment="1">
      <alignment horizontal="left" vertical="top" wrapText="1"/>
    </xf>
    <xf numFmtId="0" fontId="6" fillId="0" borderId="0" xfId="2" applyFont="1" applyAlignment="1">
      <alignment horizontal="right" vertical="center"/>
    </xf>
    <xf numFmtId="0" fontId="46" fillId="0" borderId="0" xfId="0" applyFont="1" applyAlignment="1">
      <alignment vertical="top"/>
    </xf>
    <xf numFmtId="0" fontId="45" fillId="0" borderId="0" xfId="0" applyFont="1" applyAlignment="1">
      <alignment horizontal="left" vertical="center"/>
    </xf>
    <xf numFmtId="4" fontId="7" fillId="0" borderId="0" xfId="0" applyNumberFormat="1" applyFont="1" applyAlignment="1">
      <alignment horizontal="right" vertical="center"/>
    </xf>
    <xf numFmtId="4" fontId="7" fillId="0" borderId="0" xfId="2" applyNumberFormat="1" applyFont="1" applyAlignment="1">
      <alignment horizontal="center" vertical="top" wrapText="1"/>
    </xf>
    <xf numFmtId="4" fontId="7" fillId="0" borderId="0" xfId="2" applyNumberFormat="1" applyFont="1" applyAlignment="1">
      <alignment horizontal="left" vertical="top" wrapText="1"/>
    </xf>
    <xf numFmtId="4" fontId="7" fillId="0" borderId="0" xfId="2" applyNumberFormat="1" applyFont="1" applyAlignment="1">
      <alignment horizontal="right" vertical="center" wrapText="1"/>
    </xf>
    <xf numFmtId="4" fontId="7" fillId="0" borderId="0" xfId="2" applyNumberFormat="1" applyFont="1" applyAlignment="1">
      <alignment vertical="top" wrapText="1"/>
    </xf>
    <xf numFmtId="4" fontId="7" fillId="2" borderId="0" xfId="2" applyNumberFormat="1" applyFont="1" applyFill="1" applyAlignment="1">
      <alignment horizontal="right" vertical="center" wrapText="1"/>
    </xf>
    <xf numFmtId="4" fontId="7" fillId="0" borderId="0" xfId="0" applyNumberFormat="1" applyFont="1" applyAlignment="1">
      <alignment vertical="top"/>
    </xf>
    <xf numFmtId="4" fontId="7" fillId="2" borderId="0" xfId="0" applyNumberFormat="1" applyFont="1" applyFill="1" applyAlignment="1">
      <alignment horizontal="right" vertical="center"/>
    </xf>
    <xf numFmtId="4" fontId="7" fillId="0" borderId="0" xfId="2" applyNumberFormat="1" applyFont="1" applyAlignment="1">
      <alignment vertical="center"/>
    </xf>
    <xf numFmtId="4" fontId="7" fillId="0" borderId="0" xfId="2" applyNumberFormat="1" applyFont="1"/>
    <xf numFmtId="4" fontId="7" fillId="0" borderId="0" xfId="9" applyNumberFormat="1" applyFont="1" applyAlignment="1">
      <alignment vertical="center"/>
    </xf>
    <xf numFmtId="4" fontId="7" fillId="0" borderId="0" xfId="9" applyNumberFormat="1" applyFont="1" applyAlignment="1">
      <alignment horizontal="right" vertical="center" wrapText="1"/>
    </xf>
    <xf numFmtId="4" fontId="7" fillId="0" borderId="0" xfId="0" applyNumberFormat="1" applyFont="1" applyAlignment="1">
      <alignment horizontal="right" vertical="center" wrapText="1"/>
    </xf>
    <xf numFmtId="43" fontId="7" fillId="0" borderId="44" xfId="1" applyFont="1" applyBorder="1" applyAlignment="1">
      <alignment horizontal="right" vertical="center"/>
    </xf>
    <xf numFmtId="0" fontId="7" fillId="0" borderId="0" xfId="0" applyFont="1" applyAlignment="1">
      <alignment horizontal="left" vertical="top" wrapText="1"/>
    </xf>
    <xf numFmtId="49" fontId="5" fillId="0" borderId="0" xfId="2" applyNumberFormat="1" applyFont="1" applyAlignment="1">
      <alignment horizontal="left" vertical="center" wrapText="1"/>
    </xf>
    <xf numFmtId="0" fontId="7" fillId="0" borderId="0" xfId="0" applyFont="1" applyAlignment="1">
      <alignment horizontal="center" vertical="top" wrapText="1"/>
    </xf>
    <xf numFmtId="0" fontId="11" fillId="0" borderId="0" xfId="0" applyFont="1" applyAlignment="1">
      <alignment horizontal="center"/>
    </xf>
    <xf numFmtId="0" fontId="47" fillId="0" borderId="44" xfId="0" applyFont="1" applyBorder="1" applyAlignment="1">
      <alignment horizontal="left" vertical="top" wrapText="1"/>
    </xf>
    <xf numFmtId="0" fontId="47" fillId="0" borderId="0" xfId="0" applyFont="1" applyAlignment="1">
      <alignment horizontal="left" vertical="top" wrapText="1"/>
    </xf>
    <xf numFmtId="0" fontId="7" fillId="0" borderId="0" xfId="2" applyFont="1" applyAlignment="1">
      <alignment horizontal="left" vertical="top" wrapText="1"/>
    </xf>
    <xf numFmtId="2" fontId="7" fillId="0" borderId="0" xfId="2" applyNumberFormat="1" applyFont="1" applyAlignment="1">
      <alignment horizontal="left" vertical="top" wrapText="1"/>
    </xf>
    <xf numFmtId="49" fontId="7" fillId="0" borderId="0" xfId="2" applyNumberFormat="1" applyFont="1" applyAlignment="1">
      <alignment horizontal="left" vertical="top" wrapText="1"/>
    </xf>
    <xf numFmtId="49" fontId="10" fillId="0" borderId="0" xfId="2" applyNumberFormat="1" applyFont="1" applyAlignment="1">
      <alignment horizontal="left" vertical="top" wrapText="1"/>
    </xf>
    <xf numFmtId="0" fontId="16" fillId="0" borderId="2" xfId="10" applyFont="1" applyBorder="1" applyAlignment="1">
      <alignment wrapText="1"/>
    </xf>
    <xf numFmtId="0" fontId="16" fillId="0" borderId="3" xfId="10" applyFont="1" applyBorder="1" applyAlignment="1">
      <alignment wrapText="1"/>
    </xf>
    <xf numFmtId="0" fontId="16" fillId="0" borderId="4" xfId="10" applyFont="1" applyBorder="1" applyAlignment="1">
      <alignment wrapText="1"/>
    </xf>
    <xf numFmtId="0" fontId="21" fillId="0" borderId="13" xfId="10" applyFont="1" applyBorder="1" applyAlignment="1">
      <alignment horizontal="center" vertical="top" wrapText="1"/>
    </xf>
    <xf numFmtId="0" fontId="21" fillId="0" borderId="14" xfId="10" applyFont="1" applyBorder="1" applyAlignment="1">
      <alignment horizontal="center" vertical="top" wrapText="1"/>
    </xf>
    <xf numFmtId="0" fontId="21" fillId="0" borderId="17" xfId="10" applyFont="1" applyBorder="1" applyAlignment="1">
      <alignment horizontal="center" vertical="top" wrapText="1"/>
    </xf>
    <xf numFmtId="0" fontId="21" fillId="0" borderId="20" xfId="10" applyFont="1" applyBorder="1" applyAlignment="1">
      <alignment horizontal="center" vertical="top" wrapText="1"/>
    </xf>
    <xf numFmtId="0" fontId="7" fillId="0" borderId="18" xfId="15" applyFont="1" applyBorder="1" applyAlignment="1">
      <alignment horizontal="center" vertical="center" wrapText="1"/>
    </xf>
    <xf numFmtId="0" fontId="7" fillId="0" borderId="12" xfId="15" applyFont="1" applyBorder="1" applyAlignment="1">
      <alignment horizontal="center" vertical="center" wrapText="1"/>
    </xf>
    <xf numFmtId="0" fontId="7" fillId="0" borderId="36" xfId="15" applyFont="1" applyBorder="1" applyAlignment="1">
      <alignment horizontal="center" vertical="center" wrapText="1"/>
    </xf>
    <xf numFmtId="4" fontId="7" fillId="0" borderId="12" xfId="15" applyNumberFormat="1" applyFont="1" applyBorder="1" applyAlignment="1">
      <alignment wrapText="1"/>
    </xf>
    <xf numFmtId="4" fontId="7" fillId="0" borderId="36" xfId="15" applyNumberFormat="1" applyFont="1" applyBorder="1" applyAlignment="1">
      <alignment wrapText="1"/>
    </xf>
    <xf numFmtId="4" fontId="5" fillId="0" borderId="12" xfId="15" applyNumberFormat="1" applyFont="1" applyBorder="1" applyAlignment="1">
      <alignment wrapText="1"/>
    </xf>
    <xf numFmtId="4" fontId="5" fillId="0" borderId="36" xfId="15" applyNumberFormat="1" applyFont="1" applyBorder="1" applyAlignment="1">
      <alignment wrapText="1"/>
    </xf>
  </cellXfs>
  <cellStyles count="19">
    <cellStyle name="Comma" xfId="1" builtinId="3"/>
    <cellStyle name="Comma 2" xfId="14" xr:uid="{00000000-0005-0000-0000-000001000000}"/>
    <cellStyle name="Comma 2 2" xfId="8" xr:uid="{00000000-0005-0000-0000-000002000000}"/>
    <cellStyle name="Comma 3" xfId="5" xr:uid="{00000000-0005-0000-0000-000003000000}"/>
    <cellStyle name="Currency" xfId="18" builtinId="4"/>
    <cellStyle name="Normal" xfId="0" builtinId="0"/>
    <cellStyle name="Normal 2" xfId="2" xr:uid="{00000000-0005-0000-0000-000006000000}"/>
    <cellStyle name="Normal 2 2" xfId="9" xr:uid="{00000000-0005-0000-0000-000007000000}"/>
    <cellStyle name="Normal 2 2 2" xfId="16" xr:uid="{00000000-0005-0000-0000-000008000000}"/>
    <cellStyle name="Normal 2 3" xfId="11" xr:uid="{00000000-0005-0000-0000-000009000000}"/>
    <cellStyle name="Normal 2 4" xfId="15" xr:uid="{00000000-0005-0000-0000-00000A000000}"/>
    <cellStyle name="Normal 3" xfId="4" xr:uid="{00000000-0005-0000-0000-00000B000000}"/>
    <cellStyle name="Normal 3 2" xfId="6" xr:uid="{00000000-0005-0000-0000-00000C000000}"/>
    <cellStyle name="Normal 4" xfId="10" xr:uid="{00000000-0005-0000-0000-00000D000000}"/>
    <cellStyle name="Normal 5" xfId="13" xr:uid="{00000000-0005-0000-0000-00000E000000}"/>
    <cellStyle name="Normal 6" xfId="17" xr:uid="{00000000-0005-0000-0000-00000F000000}"/>
    <cellStyle name="Normal 7" xfId="7" xr:uid="{00000000-0005-0000-0000-000010000000}"/>
    <cellStyle name="Normal_Model specifikacija 2008 - bez AC u FDS" xfId="12" xr:uid="{00000000-0005-0000-0000-000011000000}"/>
    <cellStyle name="Normal_Predmjer RADOVA2" xfId="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view="pageBreakPreview" zoomScaleNormal="100" zoomScaleSheetLayoutView="100" workbookViewId="0">
      <selection activeCell="B20" sqref="B20"/>
    </sheetView>
  </sheetViews>
  <sheetFormatPr defaultRowHeight="15"/>
  <cols>
    <col min="2" max="2" width="36.28515625" customWidth="1"/>
    <col min="3" max="3" width="25.85546875" customWidth="1"/>
    <col min="4" max="4" width="21.5703125" customWidth="1"/>
    <col min="6" max="7" width="13.28515625" bestFit="1" customWidth="1"/>
  </cols>
  <sheetData>
    <row r="1" spans="1:10" s="21" customFormat="1" ht="45.75" customHeight="1">
      <c r="A1" s="16"/>
      <c r="B1" s="408" t="s">
        <v>41</v>
      </c>
      <c r="C1" s="408"/>
      <c r="D1" s="408"/>
      <c r="E1" s="18"/>
      <c r="F1" s="18"/>
      <c r="G1" s="18"/>
      <c r="H1" s="19"/>
      <c r="I1" s="18"/>
      <c r="J1" s="18"/>
    </row>
    <row r="2" spans="1:10" s="21" customFormat="1" ht="12.75">
      <c r="A2" s="16"/>
      <c r="B2" s="410"/>
      <c r="C2" s="410"/>
      <c r="D2" s="410"/>
      <c r="E2" s="18"/>
      <c r="F2" s="18"/>
      <c r="G2" s="18"/>
      <c r="H2" s="19"/>
      <c r="I2" s="18"/>
      <c r="J2" s="18"/>
    </row>
    <row r="3" spans="1:10" s="21" customFormat="1" ht="62.25" customHeight="1">
      <c r="A3" s="3"/>
      <c r="B3" s="409" t="s">
        <v>476</v>
      </c>
      <c r="C3" s="409"/>
      <c r="D3" s="409"/>
      <c r="E3" s="49"/>
      <c r="F3" s="49"/>
      <c r="G3" s="49"/>
      <c r="H3" s="46"/>
      <c r="I3" s="49"/>
      <c r="J3" s="49"/>
    </row>
    <row r="4" spans="1:10">
      <c r="A4" s="90"/>
      <c r="B4" s="411"/>
      <c r="C4" s="411"/>
      <c r="D4" s="411"/>
    </row>
    <row r="5" spans="1:10">
      <c r="A5" s="90"/>
      <c r="B5" s="411"/>
      <c r="C5" s="411"/>
      <c r="D5" s="411"/>
    </row>
    <row r="6" spans="1:10">
      <c r="A6" s="91"/>
      <c r="B6" s="92" t="s">
        <v>470</v>
      </c>
      <c r="C6" s="93"/>
      <c r="D6" s="94" t="s">
        <v>471</v>
      </c>
    </row>
    <row r="7" spans="1:10">
      <c r="A7" s="95"/>
      <c r="B7" s="96"/>
      <c r="C7" s="97"/>
      <c r="D7" s="98"/>
    </row>
    <row r="8" spans="1:10">
      <c r="A8" s="369">
        <v>1</v>
      </c>
      <c r="B8" s="367" t="s">
        <v>1</v>
      </c>
      <c r="C8" s="370"/>
      <c r="D8" s="368">
        <f>'А-шпедиции'!F366</f>
        <v>0</v>
      </c>
      <c r="F8" s="100"/>
      <c r="G8" s="100"/>
    </row>
    <row r="9" spans="1:10">
      <c r="A9" s="369">
        <v>2</v>
      </c>
      <c r="B9" s="367" t="s">
        <v>473</v>
      </c>
      <c r="C9" s="370"/>
      <c r="D9" s="368">
        <f>'Т-шпедиции'!F26</f>
        <v>0</v>
      </c>
    </row>
    <row r="10" spans="1:10">
      <c r="A10" s="369">
        <v>3</v>
      </c>
      <c r="B10" s="367" t="s">
        <v>472</v>
      </c>
      <c r="C10" s="371"/>
      <c r="D10" s="372">
        <f>'Е-шпедиции'!G170</f>
        <v>0</v>
      </c>
      <c r="G10" s="100"/>
    </row>
    <row r="11" spans="1:10" ht="25.5">
      <c r="A11" s="369">
        <v>4</v>
      </c>
      <c r="B11" s="367" t="s">
        <v>474</v>
      </c>
      <c r="C11" s="370"/>
      <c r="D11" s="373">
        <f>'ВК-надворешни инст-шпедиции'!F87</f>
        <v>0</v>
      </c>
      <c r="F11" s="100"/>
    </row>
    <row r="12" spans="1:10" ht="25.5">
      <c r="A12" s="369">
        <v>5</v>
      </c>
      <c r="B12" s="367" t="s">
        <v>475</v>
      </c>
      <c r="C12" s="371"/>
      <c r="D12" s="372">
        <f>'ВК-внатрешни инст-шпедиции'!F41</f>
        <v>0</v>
      </c>
      <c r="F12" s="100"/>
    </row>
    <row r="13" spans="1:10">
      <c r="A13" s="90"/>
      <c r="B13" s="90"/>
      <c r="C13" s="90"/>
      <c r="D13" s="90"/>
    </row>
    <row r="14" spans="1:10">
      <c r="A14" s="90"/>
      <c r="B14" s="99" t="s">
        <v>674</v>
      </c>
      <c r="C14" s="90"/>
      <c r="D14" s="374">
        <f>SUM(D8:D12)</f>
        <v>0</v>
      </c>
    </row>
  </sheetData>
  <mergeCells count="5">
    <mergeCell ref="B1:D1"/>
    <mergeCell ref="B3:D3"/>
    <mergeCell ref="B2:D2"/>
    <mergeCell ref="B4:D4"/>
    <mergeCell ref="B5:D5"/>
  </mergeCells>
  <printOptions gridLines="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6"/>
  <sheetViews>
    <sheetView view="pageBreakPreview" topLeftCell="A340" zoomScaleNormal="85" zoomScaleSheetLayoutView="100" zoomScalePageLayoutView="85" workbookViewId="0">
      <selection activeCell="H359" sqref="H359"/>
    </sheetView>
  </sheetViews>
  <sheetFormatPr defaultColWidth="9.140625" defaultRowHeight="12.75"/>
  <cols>
    <col min="1" max="1" width="8.5703125" style="16" bestFit="1" customWidth="1"/>
    <col min="2" max="2" width="47.28515625" style="21" bestFit="1" customWidth="1"/>
    <col min="3" max="3" width="9.28515625" style="15" bestFit="1" customWidth="1"/>
    <col min="4" max="4" width="10.7109375" style="18" customWidth="1"/>
    <col min="5" max="5" width="12.7109375" style="394" customWidth="1"/>
    <col min="6" max="7" width="15" style="18" customWidth="1"/>
    <col min="8" max="8" width="36.7109375" style="18" customWidth="1"/>
    <col min="9" max="9" width="15" style="19" customWidth="1"/>
    <col min="10" max="10" width="15" style="18" customWidth="1"/>
    <col min="11" max="11" width="7.85546875" style="18" customWidth="1"/>
    <col min="12" max="12" width="9.140625" style="21"/>
    <col min="13" max="13" width="10.140625" style="21" customWidth="1"/>
    <col min="14" max="16384" width="9.140625" style="21"/>
  </cols>
  <sheetData>
    <row r="1" spans="1:11" ht="89.25" customHeight="1">
      <c r="B1" s="17" t="s">
        <v>605</v>
      </c>
    </row>
    <row r="2" spans="1:11">
      <c r="B2" s="17"/>
    </row>
    <row r="3" spans="1:11" ht="102">
      <c r="A3" s="3"/>
      <c r="B3" s="2" t="s">
        <v>606</v>
      </c>
      <c r="C3" s="48"/>
      <c r="D3" s="34"/>
      <c r="E3" s="34"/>
      <c r="F3" s="49"/>
      <c r="G3" s="49"/>
      <c r="H3" s="49"/>
      <c r="I3" s="46"/>
      <c r="J3" s="49"/>
      <c r="K3" s="49"/>
    </row>
    <row r="4" spans="1:11">
      <c r="A4" s="4"/>
      <c r="B4" s="2"/>
      <c r="C4" s="48"/>
      <c r="D4" s="34"/>
      <c r="E4" s="34"/>
      <c r="F4" s="49"/>
      <c r="G4" s="49"/>
      <c r="H4" s="49"/>
      <c r="I4" s="46"/>
      <c r="J4" s="49"/>
      <c r="K4" s="49"/>
    </row>
    <row r="5" spans="1:11">
      <c r="A5" s="4"/>
      <c r="B5" s="2"/>
      <c r="C5" s="48"/>
      <c r="D5" s="34"/>
      <c r="E5" s="34"/>
      <c r="F5" s="49"/>
      <c r="G5" s="49"/>
      <c r="H5" s="49"/>
      <c r="I5" s="46"/>
      <c r="J5" s="49"/>
      <c r="K5" s="49"/>
    </row>
    <row r="6" spans="1:11">
      <c r="A6" s="1"/>
      <c r="B6" s="2" t="s">
        <v>0</v>
      </c>
      <c r="C6" s="13"/>
      <c r="D6" s="34"/>
      <c r="E6" s="34"/>
      <c r="F6" s="49"/>
      <c r="G6" s="49"/>
      <c r="H6" s="49"/>
      <c r="I6" s="46"/>
      <c r="J6" s="49"/>
      <c r="K6" s="49"/>
    </row>
    <row r="7" spans="1:11">
      <c r="A7" s="3"/>
      <c r="B7" s="2" t="s">
        <v>1</v>
      </c>
      <c r="C7" s="13"/>
      <c r="D7" s="49"/>
      <c r="E7" s="34"/>
      <c r="F7" s="49"/>
      <c r="G7" s="49"/>
      <c r="H7" s="49"/>
      <c r="I7" s="46"/>
      <c r="J7" s="49"/>
      <c r="K7" s="49"/>
    </row>
    <row r="8" spans="1:11">
      <c r="A8" s="3"/>
      <c r="B8" s="2"/>
      <c r="C8" s="13"/>
      <c r="D8" s="49"/>
      <c r="E8" s="34"/>
      <c r="F8" s="49"/>
      <c r="G8" s="49"/>
      <c r="H8" s="49"/>
      <c r="I8" s="46"/>
      <c r="J8" s="49"/>
      <c r="K8" s="49"/>
    </row>
    <row r="9" spans="1:11">
      <c r="A9" s="50"/>
      <c r="B9" s="47" t="s">
        <v>620</v>
      </c>
      <c r="C9" s="48"/>
      <c r="D9" s="49"/>
      <c r="E9" s="34"/>
      <c r="F9" s="49"/>
      <c r="G9" s="49"/>
      <c r="H9" s="49"/>
      <c r="I9" s="46"/>
      <c r="J9" s="49"/>
      <c r="K9" s="49"/>
    </row>
    <row r="10" spans="1:11" ht="39" customHeight="1">
      <c r="A10" s="51"/>
      <c r="B10" s="414" t="s">
        <v>621</v>
      </c>
      <c r="C10" s="414"/>
      <c r="D10" s="414"/>
      <c r="E10" s="414"/>
      <c r="F10" s="414"/>
      <c r="G10" s="12"/>
      <c r="H10" s="12"/>
      <c r="I10" s="11"/>
      <c r="J10" s="12"/>
      <c r="K10" s="12"/>
    </row>
    <row r="11" spans="1:11">
      <c r="A11" s="51"/>
      <c r="B11" s="384"/>
      <c r="C11" s="384"/>
      <c r="D11" s="384"/>
      <c r="E11" s="395"/>
      <c r="F11" s="384"/>
      <c r="G11" s="12"/>
      <c r="H11" s="12"/>
      <c r="I11" s="11"/>
      <c r="J11" s="12"/>
      <c r="K11" s="12"/>
    </row>
    <row r="12" spans="1:11" ht="59.25" customHeight="1">
      <c r="A12" s="53"/>
      <c r="B12" s="414" t="s">
        <v>622</v>
      </c>
      <c r="C12" s="414"/>
      <c r="D12" s="414"/>
      <c r="E12" s="414"/>
      <c r="F12" s="414"/>
      <c r="G12" s="12"/>
      <c r="H12" s="12"/>
      <c r="I12" s="11"/>
      <c r="J12" s="12"/>
      <c r="K12" s="12"/>
    </row>
    <row r="13" spans="1:11">
      <c r="A13" s="53"/>
      <c r="B13" s="32"/>
      <c r="C13" s="32"/>
      <c r="D13" s="32"/>
      <c r="E13" s="396"/>
      <c r="F13" s="32"/>
      <c r="G13" s="49"/>
      <c r="H13" s="49"/>
      <c r="I13" s="46"/>
      <c r="J13" s="49"/>
      <c r="K13" s="49"/>
    </row>
    <row r="14" spans="1:11" ht="95.25" customHeight="1">
      <c r="A14" s="53"/>
      <c r="B14" s="414" t="s">
        <v>623</v>
      </c>
      <c r="C14" s="414"/>
      <c r="D14" s="414"/>
      <c r="E14" s="414"/>
      <c r="F14" s="414"/>
      <c r="G14" s="12"/>
      <c r="H14" s="12"/>
      <c r="I14" s="11"/>
      <c r="J14" s="12"/>
      <c r="K14" s="12"/>
    </row>
    <row r="15" spans="1:11">
      <c r="A15" s="4"/>
      <c r="B15" s="47"/>
      <c r="C15" s="13"/>
      <c r="D15" s="34"/>
      <c r="E15" s="34"/>
      <c r="F15" s="49"/>
      <c r="G15" s="12"/>
      <c r="H15" s="12"/>
      <c r="I15" s="11"/>
      <c r="J15" s="12"/>
      <c r="K15" s="12"/>
    </row>
    <row r="16" spans="1:11" ht="61.5" customHeight="1">
      <c r="A16" s="1"/>
      <c r="B16" s="415" t="s">
        <v>607</v>
      </c>
      <c r="C16" s="415"/>
      <c r="D16" s="415"/>
      <c r="E16" s="415"/>
      <c r="F16" s="415"/>
      <c r="G16" s="12"/>
      <c r="H16" s="12"/>
      <c r="I16" s="11"/>
      <c r="J16" s="12"/>
      <c r="K16" s="12"/>
    </row>
    <row r="17" spans="1:11">
      <c r="A17" s="1"/>
      <c r="B17" s="42"/>
      <c r="C17" s="10"/>
      <c r="D17" s="11"/>
      <c r="E17" s="397"/>
      <c r="F17" s="12"/>
      <c r="G17" s="49"/>
      <c r="H17" s="49"/>
      <c r="I17" s="46"/>
      <c r="J17" s="49"/>
      <c r="K17" s="49"/>
    </row>
    <row r="18" spans="1:11" ht="60.75" customHeight="1">
      <c r="A18" s="1"/>
      <c r="B18" s="415" t="s">
        <v>624</v>
      </c>
      <c r="C18" s="415"/>
      <c r="D18" s="415"/>
      <c r="E18" s="415"/>
      <c r="F18" s="415"/>
      <c r="G18" s="49"/>
      <c r="H18" s="49"/>
      <c r="I18" s="46"/>
      <c r="J18" s="49"/>
      <c r="K18" s="49"/>
    </row>
    <row r="19" spans="1:11" s="29" customFormat="1">
      <c r="A19" s="4"/>
      <c r="B19" s="47"/>
      <c r="C19" s="13"/>
      <c r="D19" s="34"/>
      <c r="E19" s="34"/>
      <c r="F19" s="49"/>
      <c r="G19" s="9"/>
      <c r="H19" s="9"/>
      <c r="I19" s="8"/>
      <c r="J19" s="9"/>
      <c r="K19" s="9"/>
    </row>
    <row r="20" spans="1:11" ht="62.25" customHeight="1">
      <c r="A20" s="4"/>
      <c r="B20" s="416" t="s">
        <v>625</v>
      </c>
      <c r="C20" s="416"/>
      <c r="D20" s="416"/>
      <c r="E20" s="416"/>
      <c r="F20" s="416"/>
      <c r="G20" s="12"/>
      <c r="H20" s="12"/>
      <c r="I20" s="11"/>
      <c r="J20" s="12"/>
      <c r="K20" s="12"/>
    </row>
    <row r="21" spans="1:11">
      <c r="A21" s="4"/>
      <c r="B21" s="47"/>
      <c r="C21" s="47"/>
      <c r="D21" s="47"/>
      <c r="E21" s="396"/>
      <c r="F21" s="47"/>
      <c r="G21" s="22"/>
      <c r="H21" s="22"/>
      <c r="J21" s="22"/>
      <c r="K21" s="22"/>
    </row>
    <row r="22" spans="1:11" ht="63" customHeight="1">
      <c r="A22" s="4"/>
      <c r="B22" s="416" t="s">
        <v>626</v>
      </c>
      <c r="C22" s="416"/>
      <c r="D22" s="416"/>
      <c r="E22" s="416"/>
      <c r="F22" s="416"/>
      <c r="G22" s="22"/>
      <c r="H22" s="22"/>
      <c r="J22" s="22"/>
      <c r="K22" s="22"/>
    </row>
    <row r="23" spans="1:11" s="392" customFormat="1">
      <c r="A23" s="4"/>
      <c r="B23" s="2"/>
      <c r="C23" s="48"/>
      <c r="D23" s="34"/>
      <c r="E23" s="34"/>
      <c r="F23" s="49"/>
      <c r="G23" s="391"/>
      <c r="H23" s="46"/>
      <c r="I23" s="391"/>
      <c r="J23" s="391"/>
    </row>
    <row r="24" spans="1:11" ht="37.5" customHeight="1">
      <c r="A24" s="4"/>
      <c r="B24" s="416" t="s">
        <v>627</v>
      </c>
      <c r="C24" s="416"/>
      <c r="D24" s="416"/>
      <c r="E24" s="416"/>
      <c r="F24" s="416"/>
      <c r="G24" s="22"/>
      <c r="H24" s="22"/>
      <c r="J24" s="22"/>
      <c r="K24" s="22"/>
    </row>
    <row r="25" spans="1:11">
      <c r="A25" s="4"/>
      <c r="B25" s="47"/>
      <c r="C25" s="47"/>
      <c r="D25" s="47"/>
      <c r="E25" s="396"/>
      <c r="F25" s="47"/>
      <c r="G25" s="21"/>
      <c r="H25" s="22"/>
      <c r="J25" s="22"/>
      <c r="K25" s="22"/>
    </row>
    <row r="26" spans="1:11" ht="64.5" customHeight="1">
      <c r="A26" s="4"/>
      <c r="B26" s="416" t="s">
        <v>628</v>
      </c>
      <c r="C26" s="416"/>
      <c r="D26" s="416"/>
      <c r="E26" s="416"/>
      <c r="F26" s="416"/>
      <c r="G26" s="22"/>
      <c r="H26" s="22"/>
      <c r="J26" s="22"/>
      <c r="K26" s="22"/>
    </row>
    <row r="27" spans="1:11">
      <c r="A27" s="4"/>
      <c r="B27" s="47"/>
      <c r="C27" s="47"/>
      <c r="D27" s="47"/>
      <c r="E27" s="396"/>
      <c r="F27" s="47"/>
      <c r="G27" s="22"/>
      <c r="H27" s="22"/>
      <c r="J27" s="22"/>
      <c r="K27" s="22"/>
    </row>
    <row r="28" spans="1:11" ht="89.25" customHeight="1">
      <c r="A28" s="4"/>
      <c r="B28" s="416" t="s">
        <v>629</v>
      </c>
      <c r="C28" s="416"/>
      <c r="D28" s="416"/>
      <c r="E28" s="416"/>
      <c r="F28" s="416"/>
      <c r="G28" s="21"/>
      <c r="H28" s="22"/>
      <c r="J28" s="22"/>
      <c r="K28" s="22"/>
    </row>
    <row r="29" spans="1:11">
      <c r="A29" s="4"/>
      <c r="B29" s="385"/>
      <c r="C29" s="385"/>
      <c r="D29" s="385"/>
      <c r="E29" s="398"/>
      <c r="F29" s="385"/>
      <c r="G29" s="21"/>
      <c r="H29" s="22"/>
      <c r="J29" s="22"/>
      <c r="K29" s="22"/>
    </row>
    <row r="30" spans="1:11" ht="30.75" customHeight="1">
      <c r="A30" s="4"/>
      <c r="B30" s="416" t="s">
        <v>664</v>
      </c>
      <c r="C30" s="416"/>
      <c r="D30" s="416"/>
      <c r="E30" s="416"/>
      <c r="F30" s="416"/>
      <c r="G30" s="21"/>
      <c r="H30" s="22"/>
      <c r="J30" s="22"/>
      <c r="K30" s="22"/>
    </row>
    <row r="31" spans="1:11">
      <c r="A31" s="4"/>
      <c r="B31" s="47"/>
      <c r="C31" s="47"/>
      <c r="D31" s="47"/>
      <c r="E31" s="396"/>
      <c r="F31" s="47"/>
      <c r="G31" s="22"/>
      <c r="H31" s="22"/>
      <c r="J31" s="22"/>
      <c r="K31" s="22"/>
    </row>
    <row r="32" spans="1:11" ht="110.25" customHeight="1">
      <c r="A32" s="4"/>
      <c r="B32" s="416" t="s">
        <v>630</v>
      </c>
      <c r="C32" s="416"/>
      <c r="D32" s="416"/>
      <c r="E32" s="416"/>
      <c r="F32" s="416"/>
      <c r="G32" s="407"/>
      <c r="H32" s="110"/>
      <c r="J32" s="110"/>
      <c r="K32" s="110"/>
    </row>
    <row r="33" spans="1:17">
      <c r="A33" s="4"/>
      <c r="B33" s="47"/>
      <c r="C33" s="47"/>
      <c r="D33" s="47"/>
      <c r="E33" s="396"/>
      <c r="F33" s="47"/>
      <c r="G33" s="407"/>
      <c r="H33" s="110"/>
      <c r="J33" s="110"/>
      <c r="K33" s="110"/>
    </row>
    <row r="34" spans="1:17" ht="92.25" customHeight="1">
      <c r="A34" s="4"/>
      <c r="B34" s="417" t="s">
        <v>673</v>
      </c>
      <c r="C34" s="417"/>
      <c r="D34" s="417"/>
      <c r="E34" s="417"/>
      <c r="F34" s="417"/>
      <c r="G34" s="412"/>
      <c r="H34" s="413"/>
      <c r="I34" s="413"/>
      <c r="J34" s="413"/>
      <c r="K34" s="413"/>
    </row>
    <row r="35" spans="1:17">
      <c r="A35" s="4"/>
      <c r="B35" s="47"/>
      <c r="C35" s="47"/>
      <c r="D35" s="47"/>
      <c r="E35" s="396"/>
      <c r="F35" s="47"/>
      <c r="G35" s="407"/>
      <c r="H35" s="110"/>
      <c r="J35" s="110"/>
      <c r="K35" s="110"/>
    </row>
    <row r="36" spans="1:17" ht="65.25" customHeight="1">
      <c r="A36" s="4"/>
      <c r="B36" s="416" t="s">
        <v>631</v>
      </c>
      <c r="C36" s="416"/>
      <c r="D36" s="416"/>
      <c r="E36" s="416"/>
      <c r="F36" s="416"/>
      <c r="G36" s="22"/>
      <c r="H36" s="22"/>
      <c r="J36" s="22"/>
      <c r="K36" s="22"/>
    </row>
    <row r="37" spans="1:17">
      <c r="A37" s="4"/>
      <c r="B37" s="47"/>
      <c r="C37" s="47"/>
      <c r="D37" s="47"/>
      <c r="E37" s="396"/>
      <c r="F37" s="47"/>
      <c r="G37" s="22"/>
      <c r="H37" s="22"/>
      <c r="J37" s="22"/>
      <c r="K37" s="22"/>
    </row>
    <row r="38" spans="1:17" ht="51.75" customHeight="1">
      <c r="A38" s="4"/>
      <c r="B38" s="416" t="s">
        <v>632</v>
      </c>
      <c r="C38" s="416"/>
      <c r="D38" s="416"/>
      <c r="E38" s="416"/>
      <c r="F38" s="416"/>
      <c r="G38" s="282"/>
      <c r="H38" s="282"/>
      <c r="J38" s="282"/>
      <c r="K38" s="282"/>
    </row>
    <row r="39" spans="1:17">
      <c r="A39" s="51"/>
      <c r="B39" s="52"/>
      <c r="C39" s="10"/>
      <c r="D39" s="11"/>
      <c r="E39" s="397"/>
      <c r="F39" s="12"/>
    </row>
    <row r="40" spans="1:17">
      <c r="A40" s="4"/>
      <c r="B40" s="47"/>
      <c r="C40" s="13"/>
      <c r="D40" s="34"/>
      <c r="E40" s="34"/>
      <c r="F40" s="49"/>
    </row>
    <row r="41" spans="1:17" s="36" customFormat="1">
      <c r="A41" s="4"/>
      <c r="B41" s="47"/>
      <c r="C41" s="13"/>
      <c r="D41" s="34"/>
      <c r="E41" s="34"/>
      <c r="F41" s="49"/>
      <c r="G41" s="22"/>
      <c r="H41" s="22"/>
      <c r="I41" s="19"/>
      <c r="J41" s="22"/>
      <c r="K41" s="22"/>
      <c r="L41" s="58"/>
      <c r="Q41" s="37"/>
    </row>
    <row r="42" spans="1:17" s="36" customFormat="1">
      <c r="A42" s="5" t="s">
        <v>28</v>
      </c>
      <c r="B42" s="6" t="s">
        <v>2</v>
      </c>
      <c r="C42" s="7" t="s">
        <v>45</v>
      </c>
      <c r="D42" s="8" t="s">
        <v>46</v>
      </c>
      <c r="E42" s="399" t="s">
        <v>47</v>
      </c>
      <c r="F42" s="9" t="s">
        <v>48</v>
      </c>
      <c r="G42" s="22"/>
      <c r="H42" s="22"/>
      <c r="I42" s="35"/>
      <c r="J42" s="22"/>
      <c r="K42" s="22"/>
      <c r="L42" s="58"/>
      <c r="Q42" s="37"/>
    </row>
    <row r="43" spans="1:17" s="36" customFormat="1" ht="38.25">
      <c r="A43" s="1"/>
      <c r="B43" s="42" t="s">
        <v>30</v>
      </c>
      <c r="C43" s="10"/>
      <c r="D43" s="11"/>
      <c r="E43" s="397"/>
      <c r="F43" s="12"/>
      <c r="G43" s="22"/>
      <c r="H43" s="22"/>
      <c r="I43" s="35"/>
      <c r="J43" s="22"/>
      <c r="K43" s="22"/>
      <c r="L43" s="58"/>
      <c r="Q43" s="37"/>
    </row>
    <row r="44" spans="1:17" s="36" customFormat="1" ht="51">
      <c r="A44" s="16" t="s">
        <v>5</v>
      </c>
      <c r="B44" s="17" t="s">
        <v>643</v>
      </c>
      <c r="C44" s="13" t="s">
        <v>15</v>
      </c>
      <c r="D44" s="14">
        <v>53.6</v>
      </c>
      <c r="E44" s="394"/>
      <c r="F44" s="22">
        <f>D44*E44</f>
        <v>0</v>
      </c>
      <c r="G44" s="20"/>
      <c r="H44" s="20"/>
      <c r="I44" s="35"/>
      <c r="J44" s="20"/>
      <c r="K44" s="20"/>
      <c r="L44" s="58"/>
      <c r="Q44" s="37"/>
    </row>
    <row r="45" spans="1:17" s="36" customFormat="1">
      <c r="A45" s="16"/>
      <c r="B45" s="17"/>
      <c r="C45" s="13"/>
      <c r="D45" s="14"/>
      <c r="E45" s="394"/>
      <c r="F45" s="22"/>
      <c r="G45" s="22"/>
      <c r="H45" s="22"/>
      <c r="I45" s="19"/>
      <c r="J45" s="22"/>
      <c r="K45" s="22"/>
      <c r="L45" s="58"/>
      <c r="Q45" s="37"/>
    </row>
    <row r="46" spans="1:17" s="36" customFormat="1" ht="102">
      <c r="A46" s="16" t="s">
        <v>7</v>
      </c>
      <c r="B46" s="17" t="s">
        <v>660</v>
      </c>
      <c r="C46" s="13" t="s">
        <v>6</v>
      </c>
      <c r="D46" s="14">
        <f>168.6</f>
        <v>168.6</v>
      </c>
      <c r="E46" s="394"/>
      <c r="F46" s="22">
        <f>D46*E46</f>
        <v>0</v>
      </c>
      <c r="G46" s="20"/>
      <c r="H46" s="20"/>
      <c r="I46" s="35"/>
      <c r="J46" s="20"/>
      <c r="K46" s="20"/>
      <c r="L46" s="58"/>
      <c r="Q46" s="37"/>
    </row>
    <row r="47" spans="1:17" s="36" customFormat="1">
      <c r="A47" s="16"/>
      <c r="B47" s="17"/>
      <c r="C47" s="13"/>
      <c r="D47" s="14"/>
      <c r="E47" s="394"/>
      <c r="F47" s="22"/>
      <c r="G47" s="22"/>
      <c r="H47" s="22"/>
      <c r="I47" s="35"/>
      <c r="J47" s="22"/>
      <c r="K47" s="22"/>
      <c r="L47" s="58"/>
      <c r="Q47" s="37"/>
    </row>
    <row r="48" spans="1:17" s="36" customFormat="1" ht="38.25">
      <c r="A48" s="16" t="s">
        <v>8</v>
      </c>
      <c r="B48" s="17" t="s">
        <v>42</v>
      </c>
      <c r="C48" s="21"/>
      <c r="D48" s="21"/>
      <c r="E48" s="400"/>
      <c r="F48" s="21"/>
      <c r="G48" s="22"/>
      <c r="H48" s="22"/>
      <c r="I48" s="19"/>
      <c r="J48" s="22"/>
      <c r="K48" s="22"/>
      <c r="L48" s="58"/>
      <c r="Q48" s="37"/>
    </row>
    <row r="49" spans="1:17" s="36" customFormat="1" ht="25.5">
      <c r="A49" s="16"/>
      <c r="B49" s="17" t="s">
        <v>43</v>
      </c>
      <c r="C49" s="15" t="s">
        <v>33</v>
      </c>
      <c r="D49" s="19">
        <v>1</v>
      </c>
      <c r="E49" s="394"/>
      <c r="F49" s="22">
        <f t="shared" ref="F49" si="0">D49*E49</f>
        <v>0</v>
      </c>
      <c r="G49" s="22"/>
      <c r="H49" s="22"/>
      <c r="I49" s="19"/>
      <c r="J49" s="22"/>
      <c r="K49" s="22"/>
      <c r="L49" s="58"/>
      <c r="Q49" s="37"/>
    </row>
    <row r="50" spans="1:17" s="36" customFormat="1">
      <c r="A50" s="16"/>
      <c r="B50" s="17"/>
      <c r="C50" s="15"/>
      <c r="D50" s="19"/>
      <c r="E50" s="394"/>
      <c r="F50" s="22"/>
      <c r="G50" s="22"/>
      <c r="H50" s="22"/>
      <c r="I50" s="19"/>
      <c r="J50" s="22"/>
      <c r="K50" s="22"/>
      <c r="L50" s="58"/>
      <c r="Q50" s="37"/>
    </row>
    <row r="51" spans="1:17" s="36" customFormat="1" ht="38.25">
      <c r="A51" s="16" t="s">
        <v>9</v>
      </c>
      <c r="B51" s="17" t="s">
        <v>499</v>
      </c>
      <c r="C51" s="21"/>
      <c r="D51" s="21"/>
      <c r="E51" s="400"/>
      <c r="F51" s="21"/>
      <c r="G51" s="22"/>
      <c r="H51" s="22"/>
      <c r="I51" s="19"/>
      <c r="J51" s="22"/>
      <c r="K51" s="22"/>
      <c r="L51" s="58"/>
      <c r="Q51" s="37"/>
    </row>
    <row r="52" spans="1:17" s="36" customFormat="1" ht="25.5">
      <c r="A52" s="16"/>
      <c r="B52" s="17" t="s">
        <v>500</v>
      </c>
      <c r="C52" s="15" t="s">
        <v>33</v>
      </c>
      <c r="D52" s="19">
        <v>1</v>
      </c>
      <c r="E52" s="394"/>
      <c r="F52" s="22">
        <f t="shared" ref="F52" si="1">D52*E52</f>
        <v>0</v>
      </c>
      <c r="G52" s="22"/>
      <c r="H52" s="22"/>
      <c r="I52" s="35"/>
      <c r="J52" s="22"/>
      <c r="K52" s="22"/>
      <c r="L52" s="58"/>
      <c r="Q52" s="37"/>
    </row>
    <row r="53" spans="1:17" s="36" customFormat="1">
      <c r="A53" s="16"/>
      <c r="B53" s="17"/>
      <c r="C53" s="15"/>
      <c r="D53" s="19"/>
      <c r="E53" s="394"/>
      <c r="F53" s="22"/>
      <c r="G53" s="22"/>
      <c r="H53" s="22"/>
      <c r="I53" s="35"/>
      <c r="J53" s="22"/>
      <c r="K53" s="22"/>
      <c r="L53" s="58"/>
      <c r="Q53" s="37"/>
    </row>
    <row r="54" spans="1:17" s="36" customFormat="1" ht="63.75">
      <c r="A54" s="16" t="s">
        <v>116</v>
      </c>
      <c r="B54" s="17" t="s">
        <v>185</v>
      </c>
      <c r="C54" s="13" t="s">
        <v>6</v>
      </c>
      <c r="D54" s="14">
        <v>170</v>
      </c>
      <c r="E54" s="394"/>
      <c r="F54" s="22">
        <f t="shared" ref="F54" si="2">D54*E54</f>
        <v>0</v>
      </c>
      <c r="G54" s="22"/>
      <c r="H54" s="22"/>
      <c r="I54" s="35"/>
      <c r="J54" s="22"/>
      <c r="K54" s="22"/>
      <c r="L54" s="58"/>
      <c r="Q54" s="37"/>
    </row>
    <row r="55" spans="1:17" s="36" customFormat="1">
      <c r="A55" s="16"/>
      <c r="B55" s="17"/>
      <c r="C55" s="21"/>
      <c r="D55" s="21"/>
      <c r="E55" s="400"/>
      <c r="F55" s="21"/>
      <c r="G55" s="22"/>
      <c r="H55" s="22"/>
      <c r="I55" s="19"/>
      <c r="J55" s="22"/>
      <c r="K55" s="22"/>
      <c r="L55" s="58"/>
      <c r="Q55" s="37"/>
    </row>
    <row r="56" spans="1:17" s="36" customFormat="1" ht="140.25">
      <c r="A56" s="16" t="s">
        <v>501</v>
      </c>
      <c r="B56" s="17" t="s">
        <v>608</v>
      </c>
      <c r="C56" s="13"/>
      <c r="D56" s="14"/>
      <c r="E56" s="394"/>
      <c r="F56" s="22"/>
      <c r="G56" s="22"/>
      <c r="H56" s="103"/>
      <c r="I56" s="35"/>
      <c r="J56" s="22"/>
      <c r="K56" s="22"/>
      <c r="L56" s="58"/>
      <c r="Q56" s="37"/>
    </row>
    <row r="57" spans="1:17" s="36" customFormat="1">
      <c r="A57" s="16"/>
      <c r="B57" s="17" t="s">
        <v>44</v>
      </c>
      <c r="C57" s="13" t="s">
        <v>6</v>
      </c>
      <c r="D57" s="14">
        <v>72</v>
      </c>
      <c r="E57" s="394"/>
      <c r="F57" s="22">
        <f t="shared" ref="F57:F59" si="3">D57*E57</f>
        <v>0</v>
      </c>
      <c r="H57" s="22"/>
      <c r="I57" s="35"/>
      <c r="J57" s="22"/>
      <c r="K57" s="22"/>
      <c r="L57" s="58"/>
      <c r="Q57" s="37"/>
    </row>
    <row r="58" spans="1:17" s="36" customFormat="1">
      <c r="A58" s="16"/>
      <c r="B58" s="17"/>
      <c r="C58" s="13"/>
      <c r="D58" s="14"/>
      <c r="E58" s="394"/>
      <c r="F58" s="22"/>
      <c r="H58" s="22"/>
      <c r="I58" s="35"/>
      <c r="J58" s="22"/>
      <c r="K58" s="22"/>
      <c r="L58" s="58"/>
      <c r="Q58" s="37"/>
    </row>
    <row r="59" spans="1:17" s="36" customFormat="1" ht="25.5">
      <c r="A59" s="16" t="s">
        <v>668</v>
      </c>
      <c r="B59" s="17" t="s">
        <v>672</v>
      </c>
      <c r="C59" s="13" t="s">
        <v>669</v>
      </c>
      <c r="D59" s="14">
        <v>1</v>
      </c>
      <c r="E59" s="394"/>
      <c r="F59" s="22">
        <f t="shared" si="3"/>
        <v>0</v>
      </c>
      <c r="G59" s="22"/>
      <c r="H59" s="22"/>
      <c r="I59" s="35"/>
      <c r="J59" s="22"/>
      <c r="K59" s="22"/>
      <c r="L59" s="58"/>
      <c r="Q59" s="37"/>
    </row>
    <row r="60" spans="1:17" s="36" customFormat="1">
      <c r="A60" s="16"/>
      <c r="B60" s="17"/>
      <c r="C60" s="13"/>
      <c r="D60" s="14"/>
      <c r="E60" s="394"/>
      <c r="F60" s="22"/>
      <c r="H60" s="22"/>
      <c r="I60" s="35"/>
      <c r="J60" s="22"/>
      <c r="K60" s="22"/>
      <c r="L60" s="58"/>
      <c r="Q60" s="37"/>
    </row>
    <row r="61" spans="1:17" s="36" customFormat="1" ht="51">
      <c r="A61" s="16" t="s">
        <v>670</v>
      </c>
      <c r="B61" s="17" t="s">
        <v>671</v>
      </c>
      <c r="C61" s="13" t="s">
        <v>669</v>
      </c>
      <c r="D61" s="14">
        <v>1</v>
      </c>
      <c r="E61" s="394"/>
      <c r="F61" s="22">
        <f t="shared" ref="F61" si="4">D61*E61</f>
        <v>0</v>
      </c>
      <c r="G61" s="22"/>
      <c r="H61" s="22"/>
      <c r="I61" s="35"/>
      <c r="J61" s="22"/>
      <c r="K61" s="22"/>
      <c r="L61" s="58"/>
      <c r="Q61" s="37"/>
    </row>
    <row r="62" spans="1:17" s="36" customFormat="1">
      <c r="A62" s="16"/>
      <c r="B62" s="17"/>
      <c r="C62" s="21"/>
      <c r="D62" s="21"/>
      <c r="E62" s="400"/>
      <c r="F62" s="21"/>
      <c r="G62" s="22"/>
      <c r="H62" s="22"/>
      <c r="I62" s="19"/>
      <c r="J62" s="22"/>
      <c r="K62" s="22"/>
      <c r="L62" s="58"/>
      <c r="Q62" s="37"/>
    </row>
    <row r="63" spans="1:17" s="36" customFormat="1">
      <c r="A63" s="16"/>
      <c r="B63" s="17"/>
      <c r="C63" s="13"/>
      <c r="D63" s="14"/>
      <c r="E63" s="394"/>
      <c r="F63" s="22"/>
      <c r="H63" s="22"/>
      <c r="I63" s="35"/>
      <c r="J63" s="22"/>
      <c r="K63" s="22"/>
      <c r="L63" s="58"/>
      <c r="Q63" s="37"/>
    </row>
    <row r="64" spans="1:17" s="36" customFormat="1">
      <c r="A64" s="16"/>
      <c r="B64" s="17"/>
      <c r="C64" s="15"/>
      <c r="D64" s="19"/>
      <c r="E64" s="394"/>
      <c r="F64" s="22"/>
      <c r="G64" s="22"/>
      <c r="H64" s="103"/>
      <c r="I64" s="35"/>
      <c r="J64" s="22"/>
      <c r="K64" s="22"/>
      <c r="L64" s="58"/>
      <c r="Q64" s="37"/>
    </row>
    <row r="65" spans="1:17" s="36" customFormat="1">
      <c r="A65" s="23"/>
      <c r="B65" s="24" t="s">
        <v>10</v>
      </c>
      <c r="C65" s="25"/>
      <c r="D65" s="26"/>
      <c r="E65" s="401"/>
      <c r="F65" s="28">
        <f>SUM(F43:F64)</f>
        <v>0</v>
      </c>
      <c r="G65" s="22"/>
      <c r="H65" s="22"/>
      <c r="I65" s="35"/>
      <c r="J65" s="22"/>
      <c r="K65" s="22"/>
      <c r="L65" s="58"/>
      <c r="Q65" s="37"/>
    </row>
    <row r="66" spans="1:17" s="36" customFormat="1">
      <c r="A66" s="16"/>
      <c r="B66" s="21"/>
      <c r="C66" s="15"/>
      <c r="D66" s="18"/>
      <c r="E66" s="394"/>
      <c r="F66" s="18"/>
      <c r="G66" s="22"/>
      <c r="H66" s="22"/>
      <c r="I66" s="35"/>
      <c r="J66" s="22"/>
      <c r="K66" s="22"/>
      <c r="L66" s="58"/>
      <c r="Q66" s="37"/>
    </row>
    <row r="67" spans="1:17" s="29" customFormat="1">
      <c r="A67" s="5" t="s">
        <v>29</v>
      </c>
      <c r="B67" s="6" t="s">
        <v>49</v>
      </c>
      <c r="C67" s="7" t="s">
        <v>45</v>
      </c>
      <c r="D67" s="8" t="s">
        <v>46</v>
      </c>
      <c r="E67" s="399"/>
      <c r="F67" s="9" t="s">
        <v>48</v>
      </c>
      <c r="G67" s="272"/>
      <c r="H67" s="272"/>
      <c r="I67" s="27"/>
      <c r="J67" s="272"/>
      <c r="K67" s="272"/>
    </row>
    <row r="68" spans="1:17" ht="25.5">
      <c r="A68" s="30"/>
      <c r="B68" s="43" t="s">
        <v>53</v>
      </c>
      <c r="C68" s="31"/>
      <c r="D68" s="101"/>
      <c r="E68" s="402"/>
      <c r="F68" s="57"/>
    </row>
    <row r="69" spans="1:17" ht="38.25">
      <c r="A69" s="1"/>
      <c r="B69" s="42" t="s">
        <v>30</v>
      </c>
      <c r="C69" s="10"/>
      <c r="D69" s="11"/>
      <c r="E69" s="397"/>
      <c r="F69" s="12"/>
      <c r="G69" s="9"/>
      <c r="H69" s="21"/>
      <c r="I69" s="21"/>
      <c r="J69" s="21"/>
      <c r="K69" s="21"/>
      <c r="L69" s="19"/>
      <c r="M69" s="18"/>
    </row>
    <row r="70" spans="1:17" ht="25.5">
      <c r="A70" s="1"/>
      <c r="B70" s="42" t="s">
        <v>50</v>
      </c>
      <c r="C70" s="10"/>
      <c r="D70" s="11"/>
      <c r="E70" s="397"/>
      <c r="F70" s="12"/>
      <c r="H70" s="21"/>
      <c r="I70" s="21"/>
      <c r="J70" s="21"/>
      <c r="K70" s="21"/>
      <c r="L70" s="19"/>
      <c r="M70" s="18"/>
    </row>
    <row r="71" spans="1:17" ht="51">
      <c r="A71" s="1"/>
      <c r="B71" s="42" t="s">
        <v>51</v>
      </c>
      <c r="C71" s="10"/>
      <c r="D71" s="11"/>
      <c r="E71" s="397"/>
      <c r="F71" s="12"/>
      <c r="H71" s="21"/>
      <c r="I71" s="21"/>
      <c r="J71" s="21"/>
      <c r="K71" s="21"/>
      <c r="L71" s="19"/>
      <c r="M71" s="18"/>
    </row>
    <row r="72" spans="1:17" ht="38.25">
      <c r="A72" s="4"/>
      <c r="B72" s="55" t="s">
        <v>52</v>
      </c>
      <c r="H72" s="21"/>
      <c r="I72" s="21"/>
      <c r="J72" s="21"/>
      <c r="K72" s="21"/>
      <c r="L72" s="19"/>
      <c r="M72" s="18"/>
    </row>
    <row r="73" spans="1:17" ht="165.75">
      <c r="B73" s="55" t="s">
        <v>54</v>
      </c>
      <c r="C73" s="271"/>
      <c r="H73" s="21"/>
      <c r="I73" s="21"/>
      <c r="J73" s="21"/>
      <c r="K73" s="21"/>
      <c r="L73" s="19"/>
      <c r="M73" s="18"/>
    </row>
    <row r="74" spans="1:17" ht="38.25">
      <c r="A74" s="16" t="s">
        <v>20</v>
      </c>
      <c r="B74" s="32" t="s">
        <v>117</v>
      </c>
      <c r="C74" s="13"/>
      <c r="D74" s="34"/>
      <c r="F74" s="22"/>
      <c r="H74" s="21"/>
      <c r="I74" s="21"/>
      <c r="J74" s="21"/>
      <c r="K74" s="21"/>
      <c r="L74" s="19"/>
      <c r="M74" s="18"/>
    </row>
    <row r="75" spans="1:17">
      <c r="B75" s="33" t="s">
        <v>477</v>
      </c>
      <c r="C75" s="13" t="s">
        <v>70</v>
      </c>
      <c r="D75" s="34">
        <f>115*1.7</f>
        <v>195.5</v>
      </c>
      <c r="F75" s="22">
        <f t="shared" ref="F75:F76" si="5">D75*E75</f>
        <v>0</v>
      </c>
      <c r="H75" s="21"/>
      <c r="I75" s="21"/>
      <c r="J75" s="21"/>
      <c r="K75" s="21"/>
      <c r="L75" s="19"/>
      <c r="M75" s="18"/>
    </row>
    <row r="76" spans="1:17">
      <c r="B76" s="33" t="s">
        <v>478</v>
      </c>
      <c r="C76" s="13" t="s">
        <v>70</v>
      </c>
      <c r="D76" s="34">
        <f>10.4*1.3</f>
        <v>13.520000000000001</v>
      </c>
      <c r="F76" s="22">
        <f t="shared" si="5"/>
        <v>0</v>
      </c>
      <c r="H76" s="21"/>
      <c r="I76" s="21"/>
      <c r="J76" s="21"/>
      <c r="K76" s="21"/>
      <c r="L76" s="19"/>
      <c r="M76" s="18"/>
    </row>
    <row r="77" spans="1:17">
      <c r="A77" s="30"/>
      <c r="B77" s="33"/>
      <c r="C77" s="13"/>
      <c r="D77" s="34"/>
      <c r="E77" s="402"/>
      <c r="F77" s="20"/>
      <c r="H77" s="21"/>
      <c r="I77" s="21"/>
      <c r="J77" s="21"/>
      <c r="K77" s="21"/>
      <c r="L77" s="19"/>
      <c r="M77" s="18"/>
    </row>
    <row r="78" spans="1:17" ht="38.25">
      <c r="A78" s="16" t="s">
        <v>21</v>
      </c>
      <c r="B78" s="17" t="s">
        <v>189</v>
      </c>
      <c r="C78" s="13" t="s">
        <v>6</v>
      </c>
      <c r="D78" s="34">
        <v>115</v>
      </c>
      <c r="F78" s="22">
        <f t="shared" ref="F78" si="6">D78*E78</f>
        <v>0</v>
      </c>
      <c r="H78" s="21"/>
      <c r="I78" s="21"/>
      <c r="J78" s="21"/>
      <c r="K78" s="21"/>
      <c r="L78" s="19"/>
      <c r="M78" s="18"/>
    </row>
    <row r="79" spans="1:17">
      <c r="A79" s="30"/>
      <c r="B79" s="33"/>
      <c r="C79" s="13"/>
      <c r="D79" s="34"/>
      <c r="E79" s="402"/>
      <c r="F79" s="20"/>
      <c r="H79" s="21"/>
      <c r="I79" s="21"/>
      <c r="J79" s="21"/>
      <c r="K79" s="21"/>
      <c r="L79" s="19"/>
      <c r="M79" s="18"/>
    </row>
    <row r="80" spans="1:17" ht="51">
      <c r="A80" s="16" t="s">
        <v>22</v>
      </c>
      <c r="B80" s="55" t="s">
        <v>190</v>
      </c>
      <c r="C80" s="13"/>
      <c r="D80" s="19"/>
      <c r="E80" s="402"/>
      <c r="F80" s="22"/>
      <c r="H80" s="21"/>
      <c r="I80" s="21"/>
      <c r="J80" s="21"/>
      <c r="K80" s="21"/>
      <c r="L80" s="19"/>
      <c r="M80" s="18"/>
    </row>
    <row r="81" spans="1:15">
      <c r="B81" s="55" t="s">
        <v>149</v>
      </c>
      <c r="C81" s="13" t="s">
        <v>70</v>
      </c>
      <c r="D81" s="19">
        <f>75.9*0.5</f>
        <v>37.950000000000003</v>
      </c>
      <c r="F81" s="22">
        <f t="shared" ref="F81:F82" si="7">D81*E81</f>
        <v>0</v>
      </c>
      <c r="H81" s="21"/>
      <c r="I81" s="21"/>
      <c r="J81" s="21"/>
      <c r="K81" s="21"/>
      <c r="L81" s="19"/>
      <c r="M81" s="18"/>
    </row>
    <row r="82" spans="1:15">
      <c r="B82" s="55" t="s">
        <v>150</v>
      </c>
      <c r="C82" s="13" t="s">
        <v>70</v>
      </c>
      <c r="D82" s="35">
        <f>(63.02+5.07)*0.5</f>
        <v>34.045000000000002</v>
      </c>
      <c r="F82" s="22">
        <f t="shared" si="7"/>
        <v>0</v>
      </c>
      <c r="H82" s="21"/>
      <c r="I82" s="21"/>
      <c r="J82" s="21"/>
      <c r="K82" s="21"/>
      <c r="L82" s="19"/>
      <c r="M82" s="18"/>
    </row>
    <row r="83" spans="1:15" s="36" customFormat="1">
      <c r="A83" s="16"/>
      <c r="B83" s="55" t="s">
        <v>184</v>
      </c>
      <c r="C83" s="13" t="s">
        <v>70</v>
      </c>
      <c r="D83" s="35">
        <f>5.4*0.2</f>
        <v>1.08</v>
      </c>
      <c r="E83" s="394"/>
      <c r="F83" s="22">
        <f t="shared" ref="F83" si="8">D83*E83</f>
        <v>0</v>
      </c>
      <c r="G83" s="57"/>
      <c r="H83" s="58"/>
      <c r="I83" s="273"/>
      <c r="L83" s="35"/>
      <c r="M83" s="57"/>
      <c r="O83" s="37"/>
    </row>
    <row r="84" spans="1:15" s="36" customFormat="1" ht="25.5">
      <c r="A84" s="16"/>
      <c r="B84" s="32" t="s">
        <v>187</v>
      </c>
      <c r="C84" s="13" t="s">
        <v>70</v>
      </c>
      <c r="D84" s="19">
        <f>30.9*0.5+49.6*0.5+(63.02+5.07)*0.45</f>
        <v>70.890500000000003</v>
      </c>
      <c r="E84" s="394"/>
      <c r="F84" s="22">
        <f t="shared" ref="F84:F86" si="9">D84*E84</f>
        <v>0</v>
      </c>
      <c r="G84" s="57"/>
      <c r="H84" s="58"/>
      <c r="I84" s="274"/>
      <c r="L84" s="35"/>
      <c r="M84" s="57"/>
      <c r="O84" s="37"/>
    </row>
    <row r="85" spans="1:15" s="36" customFormat="1" ht="25.5">
      <c r="A85" s="16"/>
      <c r="B85" s="33" t="s">
        <v>479</v>
      </c>
      <c r="C85" s="13" t="s">
        <v>70</v>
      </c>
      <c r="D85" s="19">
        <f>10.4*0.5</f>
        <v>5.2</v>
      </c>
      <c r="E85" s="394"/>
      <c r="F85" s="22">
        <f t="shared" si="9"/>
        <v>0</v>
      </c>
      <c r="G85" s="57"/>
      <c r="H85" s="58"/>
      <c r="L85" s="35"/>
      <c r="M85" s="57"/>
      <c r="O85" s="37"/>
    </row>
    <row r="86" spans="1:15" s="36" customFormat="1" ht="25.5">
      <c r="A86" s="16"/>
      <c r="B86" s="33" t="s">
        <v>480</v>
      </c>
      <c r="C86" s="13" t="s">
        <v>70</v>
      </c>
      <c r="D86" s="19">
        <f>3.44*0.3+4.13*0.3+11.4*0.3</f>
        <v>5.6909999999999998</v>
      </c>
      <c r="E86" s="394"/>
      <c r="F86" s="22">
        <f t="shared" si="9"/>
        <v>0</v>
      </c>
      <c r="G86" s="57"/>
      <c r="H86" s="58"/>
      <c r="L86" s="35"/>
      <c r="M86" s="57"/>
      <c r="O86" s="37"/>
    </row>
    <row r="87" spans="1:15" s="36" customFormat="1">
      <c r="A87" s="16"/>
      <c r="B87" s="32"/>
      <c r="C87" s="13"/>
      <c r="D87" s="19"/>
      <c r="E87" s="394"/>
      <c r="F87" s="22"/>
      <c r="G87" s="20"/>
      <c r="H87" s="58"/>
      <c r="I87" s="19"/>
      <c r="L87" s="35"/>
      <c r="M87" s="104"/>
      <c r="O87" s="37"/>
    </row>
    <row r="88" spans="1:15" s="36" customFormat="1" ht="51">
      <c r="A88" s="16" t="s">
        <v>22</v>
      </c>
      <c r="B88" s="55" t="s">
        <v>191</v>
      </c>
      <c r="C88" s="13" t="s">
        <v>34</v>
      </c>
      <c r="D88" s="19">
        <f>22.13*1.2</f>
        <v>26.555999999999997</v>
      </c>
      <c r="E88" s="394"/>
      <c r="F88" s="22">
        <f t="shared" ref="F88" si="10">D88*E88</f>
        <v>0</v>
      </c>
      <c r="G88" s="20"/>
      <c r="H88" s="58"/>
      <c r="I88" s="19"/>
      <c r="L88" s="35"/>
      <c r="M88" s="104"/>
      <c r="O88" s="37"/>
    </row>
    <row r="89" spans="1:15" s="36" customFormat="1">
      <c r="A89" s="16"/>
      <c r="B89" s="33"/>
      <c r="C89" s="13"/>
      <c r="D89" s="19"/>
      <c r="E89" s="402"/>
      <c r="F89" s="22"/>
      <c r="G89" s="57"/>
      <c r="H89" s="58"/>
      <c r="L89" s="35"/>
      <c r="M89" s="104"/>
      <c r="O89" s="37"/>
    </row>
    <row r="90" spans="1:15" s="36" customFormat="1" ht="51">
      <c r="A90" s="16" t="s">
        <v>481</v>
      </c>
      <c r="B90" s="210" t="s">
        <v>482</v>
      </c>
      <c r="E90" s="403"/>
      <c r="G90" s="20"/>
      <c r="H90" s="58"/>
      <c r="I90" s="19"/>
      <c r="L90" s="35"/>
      <c r="M90" s="104"/>
      <c r="O90" s="37"/>
    </row>
    <row r="91" spans="1:15" s="36" customFormat="1">
      <c r="A91" s="16"/>
      <c r="B91" s="33" t="s">
        <v>478</v>
      </c>
      <c r="C91" s="13" t="s">
        <v>70</v>
      </c>
      <c r="D91" s="19">
        <f>3.44*((1+1.6)/2)+4.13*((1.6))+11.4*((1.25+1.6)/2)</f>
        <v>27.325000000000003</v>
      </c>
      <c r="E91" s="402"/>
      <c r="F91" s="22">
        <f t="shared" ref="F91" si="11">D91*E91</f>
        <v>0</v>
      </c>
      <c r="G91" s="20"/>
      <c r="H91" s="58"/>
      <c r="L91" s="35"/>
      <c r="M91" s="104"/>
      <c r="O91" s="37"/>
    </row>
    <row r="92" spans="1:15" s="36" customFormat="1">
      <c r="A92" s="16"/>
      <c r="B92" s="55"/>
      <c r="C92" s="13"/>
      <c r="D92" s="19"/>
      <c r="E92" s="402"/>
      <c r="F92" s="22"/>
      <c r="G92" s="20"/>
      <c r="H92" s="58"/>
      <c r="L92" s="35"/>
      <c r="M92" s="104"/>
      <c r="O92" s="37"/>
    </row>
    <row r="93" spans="1:15" s="36" customFormat="1">
      <c r="A93" s="16"/>
      <c r="B93" s="55"/>
      <c r="C93" s="13"/>
      <c r="D93" s="19"/>
      <c r="E93" s="402"/>
      <c r="F93" s="22"/>
      <c r="G93" s="20"/>
      <c r="H93" s="58"/>
      <c r="L93" s="35"/>
      <c r="M93" s="104"/>
      <c r="O93" s="37"/>
    </row>
    <row r="94" spans="1:15" s="36" customFormat="1">
      <c r="A94" s="23"/>
      <c r="B94" s="24" t="s">
        <v>55</v>
      </c>
      <c r="C94" s="25"/>
      <c r="D94" s="26"/>
      <c r="E94" s="401"/>
      <c r="F94" s="272">
        <f>SUM(F68:F93)</f>
        <v>0</v>
      </c>
      <c r="G94" s="20"/>
      <c r="H94" s="58"/>
      <c r="I94" s="19"/>
      <c r="L94" s="35"/>
      <c r="M94" s="104"/>
      <c r="O94" s="37"/>
    </row>
    <row r="95" spans="1:15" s="36" customFormat="1">
      <c r="A95" s="16"/>
      <c r="B95" s="21"/>
      <c r="C95" s="15"/>
      <c r="D95" s="18"/>
      <c r="E95" s="394"/>
      <c r="F95" s="18"/>
      <c r="G95" s="20"/>
      <c r="H95" s="58"/>
      <c r="L95" s="35"/>
      <c r="M95" s="104"/>
      <c r="O95" s="37"/>
    </row>
    <row r="96" spans="1:15" s="36" customFormat="1">
      <c r="A96" s="23" t="s">
        <v>37</v>
      </c>
      <c r="B96" s="6" t="s">
        <v>56</v>
      </c>
      <c r="C96" s="7" t="s">
        <v>45</v>
      </c>
      <c r="D96" s="8" t="s">
        <v>46</v>
      </c>
      <c r="E96" s="399"/>
      <c r="F96" s="9" t="s">
        <v>48</v>
      </c>
      <c r="G96" s="20"/>
      <c r="H96" s="58"/>
      <c r="L96" s="35"/>
      <c r="M96" s="104"/>
      <c r="O96" s="37"/>
    </row>
    <row r="97" spans="1:15" s="63" customFormat="1" ht="102">
      <c r="A97" s="16"/>
      <c r="B97" s="17" t="s">
        <v>609</v>
      </c>
      <c r="C97" s="15"/>
      <c r="D97" s="18"/>
      <c r="E97" s="394"/>
      <c r="F97" s="18"/>
      <c r="G97" s="20"/>
      <c r="H97" s="20"/>
      <c r="I97" s="62"/>
      <c r="N97" s="64"/>
    </row>
    <row r="98" spans="1:15" s="36" customFormat="1" ht="63.75">
      <c r="A98" s="16"/>
      <c r="B98" s="17" t="s">
        <v>610</v>
      </c>
      <c r="C98" s="15"/>
      <c r="D98" s="18"/>
      <c r="E98" s="394"/>
      <c r="F98" s="18"/>
      <c r="G98" s="65"/>
      <c r="H98" s="58"/>
      <c r="L98" s="35"/>
      <c r="M98" s="104"/>
      <c r="O98" s="37"/>
    </row>
    <row r="99" spans="1:15" s="36" customFormat="1" ht="102">
      <c r="A99" s="16"/>
      <c r="B99" s="17" t="s">
        <v>611</v>
      </c>
      <c r="C99" s="15"/>
      <c r="D99" s="18"/>
      <c r="E99" s="394"/>
      <c r="F99" s="18"/>
      <c r="G99" s="20"/>
      <c r="H99" s="58"/>
      <c r="L99" s="35"/>
      <c r="M99" s="104"/>
      <c r="O99" s="37"/>
    </row>
    <row r="100" spans="1:15" s="36" customFormat="1" ht="38.25">
      <c r="A100" s="16"/>
      <c r="B100" s="17" t="s">
        <v>57</v>
      </c>
      <c r="C100" s="15"/>
      <c r="D100" s="18"/>
      <c r="E100" s="394"/>
      <c r="F100" s="18"/>
      <c r="G100" s="20"/>
      <c r="H100" s="58"/>
      <c r="L100" s="35"/>
      <c r="M100" s="104"/>
      <c r="O100" s="37"/>
    </row>
    <row r="101" spans="1:15" s="36" customFormat="1" ht="51">
      <c r="A101" s="16"/>
      <c r="B101" s="17" t="s">
        <v>612</v>
      </c>
      <c r="C101" s="15"/>
      <c r="D101" s="18"/>
      <c r="E101" s="394"/>
      <c r="F101" s="18"/>
      <c r="G101" s="20"/>
      <c r="H101" s="46"/>
      <c r="L101" s="35"/>
      <c r="M101" s="65"/>
      <c r="O101" s="37"/>
    </row>
    <row r="102" spans="1:15" s="36" customFormat="1" ht="38.25">
      <c r="A102" s="16"/>
      <c r="B102" s="17" t="s">
        <v>58</v>
      </c>
      <c r="C102" s="15"/>
      <c r="D102" s="18"/>
      <c r="E102" s="394"/>
      <c r="F102" s="18"/>
      <c r="G102" s="20"/>
      <c r="H102" s="58"/>
      <c r="L102" s="35"/>
      <c r="M102" s="104"/>
      <c r="O102" s="37"/>
    </row>
    <row r="103" spans="1:15" s="36" customFormat="1" ht="38.25">
      <c r="A103" s="16"/>
      <c r="B103" s="17" t="s">
        <v>59</v>
      </c>
      <c r="C103" s="15"/>
      <c r="D103" s="18"/>
      <c r="E103" s="394"/>
      <c r="F103" s="18"/>
      <c r="G103" s="20"/>
      <c r="H103" s="46"/>
      <c r="I103" s="19"/>
      <c r="L103" s="35"/>
      <c r="M103" s="65"/>
      <c r="O103" s="37"/>
    </row>
    <row r="104" spans="1:15" s="36" customFormat="1" ht="76.5">
      <c r="A104" s="16"/>
      <c r="B104" s="17" t="s">
        <v>60</v>
      </c>
      <c r="C104" s="15"/>
      <c r="D104" s="18"/>
      <c r="E104" s="394"/>
      <c r="F104" s="18"/>
      <c r="G104" s="20"/>
      <c r="H104" s="46"/>
      <c r="L104" s="35"/>
      <c r="M104" s="104"/>
      <c r="O104" s="37"/>
    </row>
    <row r="105" spans="1:15" s="36" customFormat="1" ht="25.5">
      <c r="A105" s="16"/>
      <c r="B105" s="17" t="s">
        <v>61</v>
      </c>
      <c r="C105" s="15"/>
      <c r="D105" s="18"/>
      <c r="E105" s="394"/>
      <c r="F105" s="18"/>
      <c r="G105" s="20"/>
      <c r="H105" s="275"/>
      <c r="I105" s="19"/>
      <c r="L105" s="35"/>
      <c r="M105" s="104"/>
      <c r="O105" s="37"/>
    </row>
    <row r="106" spans="1:15" s="36" customFormat="1" ht="38.25">
      <c r="A106" s="16"/>
      <c r="B106" s="17" t="s">
        <v>62</v>
      </c>
      <c r="C106" s="15"/>
      <c r="D106" s="18"/>
      <c r="E106" s="394"/>
      <c r="F106" s="18"/>
      <c r="G106" s="65"/>
      <c r="H106" s="46"/>
      <c r="L106" s="35"/>
      <c r="M106" s="104"/>
      <c r="O106" s="37"/>
    </row>
    <row r="107" spans="1:15" s="36" customFormat="1" ht="25.5">
      <c r="A107" s="16"/>
      <c r="B107" s="17" t="s">
        <v>63</v>
      </c>
      <c r="C107" s="15"/>
      <c r="D107" s="18"/>
      <c r="E107" s="394"/>
      <c r="F107" s="18"/>
      <c r="G107" s="57"/>
      <c r="H107" s="276"/>
      <c r="L107" s="35"/>
      <c r="M107" s="57"/>
      <c r="O107" s="37"/>
    </row>
    <row r="108" spans="1:15" s="36" customFormat="1" ht="63.75">
      <c r="A108" s="16"/>
      <c r="B108" s="17" t="s">
        <v>64</v>
      </c>
      <c r="C108" s="15"/>
      <c r="D108" s="18"/>
      <c r="E108" s="394"/>
      <c r="F108" s="18"/>
      <c r="G108" s="20"/>
      <c r="H108" s="58"/>
      <c r="I108" s="19"/>
      <c r="L108" s="35"/>
      <c r="M108" s="104"/>
      <c r="O108" s="37"/>
    </row>
    <row r="109" spans="1:15" s="36" customFormat="1">
      <c r="A109" s="16"/>
      <c r="B109" s="47" t="s">
        <v>65</v>
      </c>
      <c r="C109" s="15"/>
      <c r="D109" s="18"/>
      <c r="E109" s="394"/>
      <c r="F109" s="18"/>
      <c r="G109" s="20"/>
      <c r="H109" s="58"/>
      <c r="I109" s="19"/>
      <c r="L109" s="35"/>
      <c r="M109" s="104"/>
      <c r="O109" s="37"/>
    </row>
    <row r="110" spans="1:15" ht="318.75">
      <c r="A110" s="56"/>
      <c r="B110" s="387" t="s">
        <v>613</v>
      </c>
      <c r="C110" s="31"/>
      <c r="D110" s="101"/>
      <c r="E110" s="402"/>
      <c r="F110" s="57"/>
      <c r="H110" s="21"/>
      <c r="I110" s="21"/>
      <c r="J110" s="21"/>
      <c r="K110" s="21"/>
      <c r="L110" s="19"/>
      <c r="M110" s="18"/>
    </row>
    <row r="111" spans="1:15" s="29" customFormat="1" ht="25.5">
      <c r="A111" s="56"/>
      <c r="B111" s="47" t="s">
        <v>66</v>
      </c>
      <c r="C111" s="31"/>
      <c r="D111" s="101"/>
      <c r="E111" s="402"/>
      <c r="F111" s="57"/>
      <c r="G111" s="272"/>
      <c r="L111" s="27"/>
      <c r="M111" s="277"/>
    </row>
    <row r="112" spans="1:15">
      <c r="A112" s="56"/>
      <c r="B112" s="47" t="s">
        <v>67</v>
      </c>
      <c r="C112" s="31"/>
      <c r="D112" s="102"/>
      <c r="E112" s="402"/>
      <c r="F112" s="57"/>
    </row>
    <row r="113" spans="1:13" ht="25.5">
      <c r="A113" s="56" t="s">
        <v>11</v>
      </c>
      <c r="B113" s="47" t="s">
        <v>69</v>
      </c>
      <c r="C113" s="10"/>
      <c r="D113" s="34"/>
      <c r="E113" s="402"/>
      <c r="F113" s="57"/>
      <c r="G113" s="9"/>
      <c r="H113" s="21"/>
      <c r="I113" s="21"/>
      <c r="J113" s="21"/>
      <c r="K113" s="21"/>
      <c r="L113" s="11"/>
      <c r="M113" s="12"/>
    </row>
    <row r="114" spans="1:13">
      <c r="A114" s="56"/>
      <c r="B114" s="47" t="s">
        <v>151</v>
      </c>
      <c r="C114" s="10" t="s">
        <v>70</v>
      </c>
      <c r="D114" s="34">
        <f>35.8*0.1</f>
        <v>3.58</v>
      </c>
      <c r="E114" s="402"/>
      <c r="F114" s="20">
        <f>D114*E114</f>
        <v>0</v>
      </c>
      <c r="H114" s="21"/>
      <c r="I114" s="21"/>
      <c r="J114" s="21"/>
      <c r="K114" s="21"/>
      <c r="L114" s="19"/>
      <c r="M114" s="18"/>
    </row>
    <row r="115" spans="1:13">
      <c r="A115" s="56"/>
      <c r="B115" s="47" t="s">
        <v>152</v>
      </c>
      <c r="C115" s="10" t="s">
        <v>70</v>
      </c>
      <c r="D115" s="35">
        <f>(63.02+5.07)*0.1</f>
        <v>6.8090000000000011</v>
      </c>
      <c r="E115" s="402"/>
      <c r="F115" s="20">
        <f>D115*E115</f>
        <v>0</v>
      </c>
      <c r="G115" s="20"/>
      <c r="H115" s="21"/>
      <c r="J115" s="21"/>
      <c r="K115" s="21"/>
      <c r="L115" s="19"/>
      <c r="M115" s="18"/>
    </row>
    <row r="116" spans="1:13">
      <c r="A116" s="56"/>
      <c r="B116" s="47"/>
      <c r="C116" s="10"/>
      <c r="D116" s="34"/>
      <c r="E116" s="402"/>
      <c r="F116" s="57"/>
      <c r="G116" s="20"/>
      <c r="H116" s="21"/>
      <c r="I116" s="21"/>
      <c r="J116" s="21"/>
      <c r="K116" s="21"/>
      <c r="L116" s="69"/>
      <c r="M116" s="104"/>
    </row>
    <row r="117" spans="1:13" ht="25.5">
      <c r="A117" s="56" t="s">
        <v>23</v>
      </c>
      <c r="B117" s="47" t="s">
        <v>642</v>
      </c>
      <c r="C117" s="10"/>
      <c r="D117" s="35"/>
      <c r="E117" s="402"/>
      <c r="F117" s="20"/>
      <c r="H117" s="21"/>
      <c r="I117" s="21"/>
      <c r="J117" s="21"/>
      <c r="K117" s="21"/>
      <c r="L117" s="19"/>
      <c r="M117" s="18"/>
    </row>
    <row r="118" spans="1:13">
      <c r="A118" s="56"/>
      <c r="B118" s="66" t="s">
        <v>483</v>
      </c>
      <c r="C118" s="10" t="s">
        <v>70</v>
      </c>
      <c r="D118" s="35">
        <f>25.4*0.4</f>
        <v>10.16</v>
      </c>
      <c r="E118" s="402"/>
      <c r="F118" s="20">
        <f>D118*E118</f>
        <v>0</v>
      </c>
      <c r="G118" s="20"/>
      <c r="H118" s="21"/>
      <c r="J118" s="21"/>
      <c r="K118" s="21"/>
      <c r="L118" s="69"/>
      <c r="M118" s="104"/>
    </row>
    <row r="119" spans="1:13">
      <c r="A119" s="56"/>
      <c r="B119" s="66" t="s">
        <v>484</v>
      </c>
      <c r="C119" s="10" t="s">
        <v>70</v>
      </c>
      <c r="D119" s="35">
        <f>5.55*0.4</f>
        <v>2.2200000000000002</v>
      </c>
      <c r="E119" s="402"/>
      <c r="F119" s="20">
        <f>D119*E119</f>
        <v>0</v>
      </c>
    </row>
    <row r="120" spans="1:13" s="29" customFormat="1">
      <c r="A120" s="56"/>
      <c r="B120" s="66"/>
      <c r="C120" s="10"/>
      <c r="D120" s="35"/>
      <c r="E120" s="402"/>
      <c r="F120" s="20"/>
      <c r="G120" s="272"/>
      <c r="L120" s="27"/>
      <c r="M120" s="277"/>
    </row>
    <row r="121" spans="1:13" ht="38.25">
      <c r="A121" s="56" t="s">
        <v>24</v>
      </c>
      <c r="B121" s="47" t="s">
        <v>153</v>
      </c>
      <c r="C121" s="10" t="s">
        <v>70</v>
      </c>
      <c r="D121" s="61"/>
      <c r="E121" s="402"/>
      <c r="F121" s="20"/>
      <c r="G121" s="20"/>
      <c r="H121" s="21"/>
      <c r="I121" s="21"/>
      <c r="J121" s="21"/>
      <c r="K121" s="21"/>
      <c r="L121" s="19"/>
      <c r="M121" s="104"/>
    </row>
    <row r="122" spans="1:13">
      <c r="A122" s="56"/>
      <c r="B122" s="66" t="s">
        <v>483</v>
      </c>
      <c r="C122" s="10" t="s">
        <v>70</v>
      </c>
      <c r="D122" s="61">
        <f>8.7*1.2</f>
        <v>10.44</v>
      </c>
      <c r="E122" s="402"/>
      <c r="F122" s="20">
        <f>D122*E122</f>
        <v>0</v>
      </c>
      <c r="G122" s="20"/>
      <c r="H122" s="21"/>
      <c r="I122" s="21"/>
      <c r="J122" s="21"/>
      <c r="K122" s="21"/>
      <c r="L122" s="19"/>
      <c r="M122" s="104"/>
    </row>
    <row r="123" spans="1:13" s="29" customFormat="1">
      <c r="A123" s="56"/>
      <c r="B123" s="66" t="s">
        <v>485</v>
      </c>
      <c r="C123" s="10" t="s">
        <v>70</v>
      </c>
      <c r="D123" s="61">
        <f>1.6*1.2+1.83*((0.5+1.2)/2)*0.2</f>
        <v>2.2311000000000001</v>
      </c>
      <c r="E123" s="402"/>
      <c r="F123" s="20">
        <f>D123*E123</f>
        <v>0</v>
      </c>
      <c r="G123" s="9"/>
      <c r="L123" s="73"/>
      <c r="M123" s="74"/>
    </row>
    <row r="124" spans="1:13">
      <c r="A124" s="59"/>
      <c r="B124" s="47"/>
      <c r="C124" s="60"/>
      <c r="D124" s="61"/>
      <c r="E124" s="402"/>
      <c r="F124" s="20"/>
      <c r="G124" s="77"/>
      <c r="H124" s="21"/>
      <c r="I124" s="21"/>
      <c r="J124" s="21"/>
      <c r="K124" s="21"/>
      <c r="L124" s="76"/>
      <c r="M124" s="77"/>
    </row>
    <row r="125" spans="1:13" ht="38.25">
      <c r="A125" s="56" t="s">
        <v>154</v>
      </c>
      <c r="B125" s="47" t="s">
        <v>641</v>
      </c>
      <c r="C125" s="10"/>
      <c r="D125" s="34"/>
      <c r="E125" s="402"/>
      <c r="F125" s="65"/>
      <c r="G125" s="77"/>
      <c r="H125" s="21"/>
      <c r="I125" s="21"/>
      <c r="J125" s="21"/>
      <c r="K125" s="21"/>
      <c r="L125" s="76"/>
      <c r="M125" s="77"/>
    </row>
    <row r="126" spans="1:13">
      <c r="A126" s="56"/>
      <c r="B126" s="66" t="s">
        <v>483</v>
      </c>
      <c r="C126" s="10" t="s">
        <v>70</v>
      </c>
      <c r="D126" s="35">
        <f>(63.02)*0.15</f>
        <v>9.4529999999999994</v>
      </c>
      <c r="E126" s="402"/>
      <c r="F126" s="20">
        <f>D126*E126</f>
        <v>0</v>
      </c>
      <c r="G126" s="77"/>
      <c r="H126" s="21"/>
      <c r="I126" s="21"/>
      <c r="J126" s="21"/>
      <c r="K126" s="21"/>
      <c r="L126" s="76"/>
      <c r="M126" s="77"/>
    </row>
    <row r="127" spans="1:13">
      <c r="A127" s="56"/>
      <c r="B127" s="66" t="s">
        <v>484</v>
      </c>
      <c r="C127" s="10" t="s">
        <v>70</v>
      </c>
      <c r="D127" s="35">
        <f>(5.07)*0.15</f>
        <v>0.76050000000000006</v>
      </c>
      <c r="E127" s="402"/>
      <c r="F127" s="20">
        <f>D127*E127</f>
        <v>0</v>
      </c>
      <c r="G127" s="20"/>
      <c r="H127" s="21"/>
      <c r="J127" s="21"/>
      <c r="K127" s="21"/>
      <c r="L127" s="76"/>
      <c r="M127" s="104"/>
    </row>
    <row r="128" spans="1:13">
      <c r="A128" s="56"/>
      <c r="B128" s="47"/>
      <c r="C128" s="10"/>
      <c r="D128" s="35"/>
      <c r="E128" s="402"/>
      <c r="F128" s="20"/>
      <c r="G128" s="21"/>
      <c r="H128" s="21"/>
      <c r="I128" s="21"/>
      <c r="J128" s="21"/>
      <c r="K128" s="21"/>
      <c r="L128" s="76"/>
      <c r="M128" s="104"/>
    </row>
    <row r="129" spans="1:13" ht="25.5">
      <c r="A129" s="56" t="s">
        <v>71</v>
      </c>
      <c r="B129" s="47" t="s">
        <v>155</v>
      </c>
      <c r="C129" s="10"/>
      <c r="D129" s="34"/>
      <c r="E129" s="402"/>
      <c r="F129" s="20"/>
      <c r="G129" s="20"/>
      <c r="H129" s="21"/>
      <c r="J129" s="21"/>
      <c r="K129" s="21"/>
      <c r="L129" s="76"/>
      <c r="M129" s="104"/>
    </row>
    <row r="130" spans="1:13" ht="25.5">
      <c r="A130" s="56"/>
      <c r="B130" s="47" t="s">
        <v>156</v>
      </c>
      <c r="C130" s="10" t="s">
        <v>70</v>
      </c>
      <c r="D130" s="34">
        <f>0.613*3.05</f>
        <v>1.8696499999999998</v>
      </c>
      <c r="E130" s="402"/>
      <c r="F130" s="20">
        <f>D130*E130</f>
        <v>0</v>
      </c>
      <c r="G130" s="20"/>
      <c r="H130" s="21"/>
      <c r="J130" s="21"/>
      <c r="K130" s="21"/>
      <c r="L130" s="76"/>
      <c r="M130" s="104"/>
    </row>
    <row r="131" spans="1:13">
      <c r="A131" s="56"/>
      <c r="B131" s="47"/>
      <c r="C131" s="10"/>
      <c r="D131" s="35"/>
      <c r="E131" s="402"/>
      <c r="F131" s="20"/>
      <c r="G131" s="20"/>
      <c r="H131" s="21"/>
      <c r="I131" s="21"/>
      <c r="J131" s="21"/>
      <c r="K131" s="21"/>
      <c r="L131" s="76"/>
      <c r="M131" s="104"/>
    </row>
    <row r="132" spans="1:13" ht="63.75">
      <c r="A132" s="56" t="s">
        <v>589</v>
      </c>
      <c r="B132" s="47" t="s">
        <v>157</v>
      </c>
      <c r="C132" s="10" t="s">
        <v>70</v>
      </c>
      <c r="D132" s="34">
        <f>5.21*0.4+3.44*0.15*1.5+15.54*0.15+((0.5*1.2)/2)*1.75*0.2+((0.8*1.2)/2)*6*0.2+1.2*5.3*0.2</f>
        <v>7.1420000000000003</v>
      </c>
      <c r="E132" s="402"/>
      <c r="F132" s="20">
        <f>D132*E132</f>
        <v>0</v>
      </c>
      <c r="G132" s="77"/>
      <c r="H132" s="21"/>
      <c r="I132" s="21"/>
      <c r="J132" s="21"/>
      <c r="K132" s="21"/>
      <c r="L132" s="76"/>
      <c r="M132" s="77"/>
    </row>
    <row r="133" spans="1:13" s="29" customFormat="1">
      <c r="A133" s="56"/>
      <c r="B133" s="47"/>
      <c r="C133" s="10"/>
      <c r="D133" s="46"/>
      <c r="E133" s="402"/>
      <c r="F133" s="65"/>
      <c r="G133" s="272"/>
      <c r="L133" s="27"/>
      <c r="M133" s="277"/>
    </row>
    <row r="134" spans="1:13" ht="140.25">
      <c r="A134" s="209" t="s">
        <v>590</v>
      </c>
      <c r="B134" s="32" t="s">
        <v>633</v>
      </c>
      <c r="C134" s="13"/>
      <c r="D134" s="34"/>
      <c r="E134" s="402"/>
      <c r="F134" s="57"/>
      <c r="H134" s="21"/>
      <c r="I134" s="21"/>
      <c r="J134" s="21"/>
      <c r="K134" s="21"/>
      <c r="L134" s="19"/>
      <c r="M134" s="18"/>
    </row>
    <row r="135" spans="1:13" s="29" customFormat="1">
      <c r="A135" s="56"/>
      <c r="B135" s="66" t="s">
        <v>118</v>
      </c>
      <c r="C135" s="13" t="s">
        <v>6</v>
      </c>
      <c r="D135" s="34">
        <v>220</v>
      </c>
      <c r="E135" s="402"/>
      <c r="F135" s="20">
        <f>D135*E135</f>
        <v>0</v>
      </c>
      <c r="G135" s="9"/>
      <c r="L135" s="73"/>
      <c r="M135" s="74"/>
    </row>
    <row r="136" spans="1:13">
      <c r="A136" s="56"/>
      <c r="B136" s="66" t="s">
        <v>119</v>
      </c>
      <c r="C136" s="13" t="s">
        <v>6</v>
      </c>
      <c r="D136" s="34">
        <v>5.3</v>
      </c>
      <c r="E136" s="402"/>
      <c r="F136" s="20">
        <f>D136*E136</f>
        <v>0</v>
      </c>
      <c r="G136" s="77"/>
      <c r="H136" s="21"/>
      <c r="I136" s="21"/>
      <c r="J136" s="21"/>
      <c r="K136" s="21"/>
      <c r="L136" s="76"/>
      <c r="M136" s="77"/>
    </row>
    <row r="137" spans="1:13">
      <c r="G137" s="20"/>
      <c r="H137" s="21"/>
      <c r="J137" s="21"/>
      <c r="K137" s="21"/>
      <c r="L137" s="76"/>
      <c r="M137" s="104"/>
    </row>
    <row r="138" spans="1:13">
      <c r="A138" s="23"/>
      <c r="B138" s="24" t="s">
        <v>73</v>
      </c>
      <c r="C138" s="25"/>
      <c r="D138" s="26"/>
      <c r="E138" s="401"/>
      <c r="F138" s="272">
        <f>SUM(F113:F137)</f>
        <v>0</v>
      </c>
      <c r="G138" s="20"/>
      <c r="H138" s="21"/>
      <c r="I138" s="21"/>
      <c r="J138" s="21"/>
      <c r="K138" s="21"/>
      <c r="L138" s="76"/>
      <c r="M138" s="104"/>
    </row>
    <row r="139" spans="1:13">
      <c r="G139" s="20"/>
      <c r="H139" s="21"/>
      <c r="J139" s="21"/>
      <c r="K139" s="21"/>
      <c r="L139" s="76"/>
      <c r="M139" s="104"/>
    </row>
    <row r="140" spans="1:13">
      <c r="A140" s="5" t="s">
        <v>36</v>
      </c>
      <c r="B140" s="68" t="s">
        <v>68</v>
      </c>
      <c r="C140" s="7" t="s">
        <v>45</v>
      </c>
      <c r="D140" s="8" t="s">
        <v>46</v>
      </c>
      <c r="E140" s="399"/>
      <c r="F140" s="9" t="s">
        <v>48</v>
      </c>
      <c r="G140" s="20"/>
      <c r="H140" s="21"/>
      <c r="I140" s="21"/>
      <c r="J140" s="21"/>
      <c r="K140" s="21"/>
      <c r="L140" s="76"/>
      <c r="M140" s="104"/>
    </row>
    <row r="141" spans="1:13" ht="140.25">
      <c r="B141" s="67" t="s">
        <v>614</v>
      </c>
      <c r="G141" s="21"/>
      <c r="H141" s="21"/>
      <c r="J141" s="21"/>
      <c r="K141" s="21"/>
      <c r="L141" s="76"/>
      <c r="M141" s="104"/>
    </row>
    <row r="142" spans="1:13">
      <c r="A142" s="16" t="s">
        <v>74</v>
      </c>
      <c r="B142" s="67" t="s">
        <v>160</v>
      </c>
      <c r="C142" s="15" t="s">
        <v>72</v>
      </c>
      <c r="D142" s="19">
        <v>1443.49</v>
      </c>
      <c r="E142" s="404"/>
      <c r="F142" s="20">
        <f>D142*E142</f>
        <v>0</v>
      </c>
      <c r="G142" s="20"/>
      <c r="H142" s="21"/>
      <c r="J142" s="21"/>
      <c r="K142" s="21"/>
      <c r="L142" s="76"/>
      <c r="M142" s="104"/>
    </row>
    <row r="143" spans="1:13">
      <c r="B143" s="67"/>
      <c r="D143" s="19"/>
      <c r="E143" s="404"/>
      <c r="F143" s="20"/>
      <c r="G143" s="20"/>
      <c r="H143" s="21"/>
      <c r="J143" s="21"/>
      <c r="K143" s="21"/>
      <c r="L143" s="76"/>
      <c r="M143" s="104"/>
    </row>
    <row r="144" spans="1:13">
      <c r="A144" s="16" t="s">
        <v>75</v>
      </c>
      <c r="B144" s="70" t="s">
        <v>76</v>
      </c>
      <c r="G144" s="20"/>
      <c r="H144" s="21"/>
      <c r="I144" s="21"/>
      <c r="J144" s="21"/>
      <c r="K144" s="21"/>
      <c r="L144" s="76"/>
      <c r="M144" s="104"/>
    </row>
    <row r="145" spans="1:17">
      <c r="B145" s="70" t="s">
        <v>158</v>
      </c>
      <c r="C145" s="15" t="s">
        <v>72</v>
      </c>
      <c r="D145" s="19">
        <v>572.76</v>
      </c>
      <c r="E145" s="404"/>
      <c r="F145" s="20">
        <f>D145*E145</f>
        <v>0</v>
      </c>
      <c r="G145" s="20"/>
      <c r="H145" s="21"/>
      <c r="J145" s="21"/>
      <c r="K145" s="21"/>
      <c r="L145" s="76"/>
      <c r="M145" s="77"/>
    </row>
    <row r="146" spans="1:17">
      <c r="G146" s="20"/>
      <c r="H146" s="21"/>
      <c r="I146" s="21"/>
      <c r="J146" s="21"/>
      <c r="K146" s="21"/>
      <c r="L146" s="76"/>
      <c r="M146" s="77"/>
    </row>
    <row r="147" spans="1:17">
      <c r="A147" s="23"/>
      <c r="B147" s="24" t="s">
        <v>159</v>
      </c>
      <c r="C147" s="25"/>
      <c r="D147" s="26"/>
      <c r="E147" s="401"/>
      <c r="F147" s="272">
        <f>SUM(F141:F146)</f>
        <v>0</v>
      </c>
      <c r="G147" s="20"/>
      <c r="H147" s="21"/>
      <c r="I147" s="21"/>
      <c r="J147" s="21"/>
      <c r="K147" s="21"/>
      <c r="L147" s="76"/>
      <c r="M147" s="77"/>
    </row>
    <row r="148" spans="1:17">
      <c r="B148" s="47"/>
      <c r="F148" s="20"/>
      <c r="G148" s="20"/>
      <c r="H148" s="21"/>
      <c r="J148" s="21"/>
      <c r="K148" s="21"/>
      <c r="L148" s="76"/>
      <c r="M148" s="77"/>
    </row>
    <row r="149" spans="1:17">
      <c r="B149" s="47"/>
      <c r="F149" s="20"/>
      <c r="G149" s="20"/>
      <c r="H149" s="21"/>
      <c r="J149" s="21"/>
      <c r="K149" s="21"/>
      <c r="L149" s="76"/>
      <c r="M149" s="77"/>
    </row>
    <row r="150" spans="1:17" ht="25.5">
      <c r="A150" s="71" t="s">
        <v>38</v>
      </c>
      <c r="B150" s="72" t="s">
        <v>77</v>
      </c>
      <c r="C150" s="7" t="s">
        <v>45</v>
      </c>
      <c r="D150" s="8" t="s">
        <v>46</v>
      </c>
      <c r="E150" s="399"/>
      <c r="F150" s="9" t="s">
        <v>48</v>
      </c>
      <c r="G150" s="20"/>
      <c r="H150" s="21"/>
      <c r="I150" s="21"/>
      <c r="J150" s="21"/>
      <c r="K150" s="21"/>
      <c r="L150" s="76"/>
      <c r="M150" s="77"/>
    </row>
    <row r="151" spans="1:17" ht="25.5">
      <c r="A151" s="75" t="s">
        <v>39</v>
      </c>
      <c r="B151" s="107" t="s">
        <v>644</v>
      </c>
      <c r="C151" s="60"/>
      <c r="D151" s="76"/>
      <c r="E151" s="405"/>
      <c r="F151" s="77"/>
      <c r="G151" s="20"/>
      <c r="H151" s="21"/>
      <c r="J151" s="21"/>
      <c r="K151" s="21"/>
      <c r="L151" s="76"/>
      <c r="M151" s="77"/>
    </row>
    <row r="152" spans="1:17" ht="25.5">
      <c r="A152" s="78"/>
      <c r="B152" s="107" t="s">
        <v>502</v>
      </c>
      <c r="C152" s="60"/>
      <c r="D152" s="76"/>
      <c r="E152" s="405"/>
      <c r="F152" s="77"/>
      <c r="G152" s="20"/>
      <c r="H152" s="21"/>
      <c r="I152" s="21"/>
      <c r="J152" s="21"/>
      <c r="K152" s="21"/>
      <c r="L152" s="76"/>
      <c r="M152" s="77"/>
    </row>
    <row r="153" spans="1:17" ht="76.5">
      <c r="A153" s="78"/>
      <c r="B153" s="79" t="s">
        <v>645</v>
      </c>
      <c r="C153" s="60"/>
      <c r="D153" s="76"/>
      <c r="E153" s="405"/>
      <c r="F153" s="77"/>
      <c r="G153" s="77"/>
      <c r="H153" s="21"/>
      <c r="I153" s="21"/>
      <c r="J153" s="21"/>
      <c r="K153" s="21"/>
      <c r="L153" s="76"/>
      <c r="M153" s="77"/>
    </row>
    <row r="154" spans="1:17" s="29" customFormat="1">
      <c r="A154" s="78"/>
      <c r="B154" s="79" t="s">
        <v>161</v>
      </c>
      <c r="C154" s="80" t="s">
        <v>72</v>
      </c>
      <c r="D154" s="76">
        <v>18907.71</v>
      </c>
      <c r="E154" s="405"/>
      <c r="F154" s="20">
        <f>D154*E154</f>
        <v>0</v>
      </c>
      <c r="G154" s="28"/>
      <c r="L154" s="27"/>
      <c r="M154" s="28"/>
    </row>
    <row r="155" spans="1:17">
      <c r="A155" s="78"/>
      <c r="B155" s="79" t="s">
        <v>162</v>
      </c>
      <c r="C155" s="21"/>
      <c r="D155" s="21"/>
      <c r="E155" s="400"/>
      <c r="F155" s="21"/>
      <c r="H155" s="21"/>
      <c r="I155" s="21"/>
      <c r="J155" s="21"/>
      <c r="K155" s="21"/>
      <c r="L155" s="19"/>
      <c r="M155" s="18"/>
    </row>
    <row r="156" spans="1:17" s="29" customFormat="1">
      <c r="A156" s="78"/>
      <c r="B156" s="79" t="s">
        <v>163</v>
      </c>
      <c r="C156" s="80" t="s">
        <v>115</v>
      </c>
      <c r="D156" s="76">
        <v>96</v>
      </c>
      <c r="E156" s="405"/>
      <c r="F156" s="20">
        <f>D156*E156</f>
        <v>0</v>
      </c>
      <c r="G156" s="9"/>
      <c r="H156" s="9"/>
      <c r="I156" s="8"/>
      <c r="J156" s="9"/>
      <c r="K156" s="9"/>
    </row>
    <row r="157" spans="1:17" s="36" customFormat="1">
      <c r="A157" s="78"/>
      <c r="B157" s="79" t="s">
        <v>164</v>
      </c>
      <c r="C157" s="80" t="s">
        <v>115</v>
      </c>
      <c r="D157" s="76">
        <v>60</v>
      </c>
      <c r="E157" s="405"/>
      <c r="F157" s="20">
        <f>D157*E157</f>
        <v>0</v>
      </c>
      <c r="G157" s="57"/>
      <c r="H157" s="57"/>
      <c r="I157" s="35"/>
      <c r="J157" s="57"/>
      <c r="K157" s="57"/>
      <c r="L157" s="58"/>
      <c r="Q157" s="64"/>
    </row>
    <row r="158" spans="1:17" s="36" customFormat="1">
      <c r="A158" s="78"/>
      <c r="B158" s="79"/>
      <c r="C158" s="80"/>
      <c r="D158" s="76"/>
      <c r="E158" s="405"/>
      <c r="F158" s="20"/>
      <c r="G158" s="57"/>
      <c r="H158" s="57"/>
      <c r="I158" s="35"/>
      <c r="J158" s="57"/>
      <c r="K158" s="57"/>
      <c r="L158" s="58"/>
      <c r="Q158" s="64"/>
    </row>
    <row r="159" spans="1:17">
      <c r="A159" s="78"/>
      <c r="B159" s="81"/>
      <c r="C159" s="60"/>
      <c r="D159" s="76"/>
      <c r="E159" s="405"/>
      <c r="F159" s="77"/>
    </row>
    <row r="160" spans="1:17" s="36" customFormat="1">
      <c r="A160" s="23"/>
      <c r="B160" s="82" t="s">
        <v>14</v>
      </c>
      <c r="C160" s="25"/>
      <c r="D160" s="26"/>
      <c r="E160" s="401"/>
      <c r="F160" s="272">
        <f>SUM(F151:F159)</f>
        <v>0</v>
      </c>
      <c r="G160" s="22"/>
      <c r="H160" s="22"/>
      <c r="I160" s="19"/>
      <c r="J160" s="22"/>
      <c r="K160" s="22"/>
      <c r="L160" s="58"/>
      <c r="Q160" s="37"/>
    </row>
    <row r="161" spans="1:17" s="36" customFormat="1">
      <c r="A161" s="16"/>
      <c r="B161" s="21"/>
      <c r="C161" s="15"/>
      <c r="D161" s="18"/>
      <c r="E161" s="394"/>
      <c r="F161" s="18"/>
      <c r="G161" s="22"/>
      <c r="H161" s="22"/>
      <c r="I161" s="19"/>
      <c r="J161" s="22"/>
      <c r="K161" s="22"/>
      <c r="L161" s="58"/>
      <c r="Q161" s="37"/>
    </row>
    <row r="162" spans="1:17" s="36" customFormat="1">
      <c r="A162" s="71" t="s">
        <v>40</v>
      </c>
      <c r="B162" s="83" t="s">
        <v>78</v>
      </c>
      <c r="C162" s="7" t="s">
        <v>45</v>
      </c>
      <c r="D162" s="8" t="s">
        <v>46</v>
      </c>
      <c r="E162" s="399"/>
      <c r="F162" s="9" t="s">
        <v>48</v>
      </c>
      <c r="G162" s="20"/>
      <c r="H162" s="20"/>
      <c r="I162" s="35"/>
      <c r="J162" s="20"/>
      <c r="K162" s="20"/>
      <c r="L162" s="58"/>
      <c r="Q162" s="37"/>
    </row>
    <row r="163" spans="1:17" s="36" customFormat="1">
      <c r="A163" s="78"/>
      <c r="B163" s="84"/>
      <c r="C163" s="60"/>
      <c r="D163" s="76"/>
      <c r="E163" s="405"/>
      <c r="F163" s="77"/>
      <c r="G163" s="20"/>
      <c r="H163" s="20"/>
      <c r="I163" s="35"/>
      <c r="J163" s="20"/>
      <c r="K163" s="20"/>
      <c r="L163" s="58"/>
      <c r="Q163" s="37"/>
    </row>
    <row r="164" spans="1:17" s="29" customFormat="1" ht="178.5">
      <c r="A164" s="75" t="s">
        <v>12</v>
      </c>
      <c r="B164" s="85" t="s">
        <v>604</v>
      </c>
      <c r="C164" s="15" t="s">
        <v>6</v>
      </c>
      <c r="D164" s="76">
        <f>28.4*1.2</f>
        <v>34.08</v>
      </c>
      <c r="E164" s="405"/>
      <c r="F164" s="20">
        <f>D164*E164</f>
        <v>0</v>
      </c>
      <c r="G164" s="272"/>
      <c r="H164" s="272"/>
      <c r="I164" s="27"/>
      <c r="J164" s="272"/>
      <c r="K164" s="272"/>
    </row>
    <row r="165" spans="1:17">
      <c r="A165" s="75"/>
      <c r="B165" s="85"/>
      <c r="D165" s="76"/>
      <c r="E165" s="405"/>
      <c r="F165" s="20"/>
    </row>
    <row r="166" spans="1:17" s="29" customFormat="1" ht="38.25">
      <c r="A166" s="75" t="s">
        <v>165</v>
      </c>
      <c r="B166" s="85" t="s">
        <v>166</v>
      </c>
      <c r="C166" s="15" t="s">
        <v>6</v>
      </c>
      <c r="D166" s="35">
        <f>(63.02+4.7)</f>
        <v>67.72</v>
      </c>
      <c r="E166" s="405"/>
      <c r="F166" s="20">
        <f>D166*E166</f>
        <v>0</v>
      </c>
      <c r="G166" s="9"/>
      <c r="H166" s="9"/>
      <c r="I166" s="8"/>
      <c r="J166" s="9"/>
      <c r="K166" s="9"/>
    </row>
    <row r="167" spans="1:17">
      <c r="A167" s="75"/>
      <c r="B167" s="85"/>
      <c r="D167" s="76"/>
      <c r="E167" s="405"/>
      <c r="F167" s="20"/>
      <c r="G167" s="12"/>
      <c r="H167" s="12"/>
      <c r="I167" s="11"/>
      <c r="J167" s="12"/>
      <c r="K167" s="12"/>
    </row>
    <row r="168" spans="1:17" ht="51">
      <c r="A168" s="75" t="s">
        <v>170</v>
      </c>
      <c r="B168" s="85" t="s">
        <v>168</v>
      </c>
      <c r="C168" s="21"/>
      <c r="D168" s="21"/>
      <c r="E168" s="400"/>
      <c r="F168" s="21"/>
      <c r="G168" s="22"/>
      <c r="H168" s="22"/>
      <c r="J168" s="22"/>
      <c r="K168" s="22"/>
      <c r="L168" s="54"/>
    </row>
    <row r="169" spans="1:17">
      <c r="A169" s="75"/>
      <c r="B169" s="85" t="s">
        <v>176</v>
      </c>
      <c r="C169" s="15" t="s">
        <v>6</v>
      </c>
      <c r="D169" s="76">
        <f>24.62*0.7</f>
        <v>17.233999999999998</v>
      </c>
      <c r="E169" s="405"/>
      <c r="F169" s="20">
        <f>D169*E169</f>
        <v>0</v>
      </c>
      <c r="G169" s="22"/>
      <c r="H169" s="22"/>
      <c r="J169" s="22"/>
      <c r="K169" s="22"/>
    </row>
    <row r="170" spans="1:17">
      <c r="A170" s="75"/>
      <c r="B170" s="85" t="s">
        <v>177</v>
      </c>
      <c r="C170" s="15" t="s">
        <v>6</v>
      </c>
      <c r="D170" s="76">
        <f>21*2.2</f>
        <v>46.2</v>
      </c>
      <c r="E170" s="405"/>
      <c r="F170" s="20">
        <f>D170*E170</f>
        <v>0</v>
      </c>
      <c r="G170" s="22"/>
      <c r="H170" s="22"/>
      <c r="J170" s="22"/>
      <c r="K170" s="22"/>
    </row>
    <row r="171" spans="1:17">
      <c r="A171" s="75"/>
      <c r="B171" s="85"/>
      <c r="D171" s="76"/>
      <c r="E171" s="405"/>
      <c r="F171" s="20"/>
    </row>
    <row r="172" spans="1:17" s="29" customFormat="1" ht="38.25">
      <c r="A172" s="75" t="s">
        <v>169</v>
      </c>
      <c r="B172" s="85" t="s">
        <v>175</v>
      </c>
      <c r="C172" s="15" t="s">
        <v>6</v>
      </c>
      <c r="D172" s="76">
        <f>21*2.2</f>
        <v>46.2</v>
      </c>
      <c r="E172" s="405"/>
      <c r="F172" s="20">
        <f>D172*E172</f>
        <v>0</v>
      </c>
      <c r="G172" s="272"/>
      <c r="H172" s="272"/>
      <c r="I172" s="27"/>
      <c r="J172" s="272"/>
      <c r="K172" s="272"/>
    </row>
    <row r="173" spans="1:17">
      <c r="A173" s="75"/>
      <c r="B173" s="85"/>
      <c r="D173" s="76"/>
      <c r="E173" s="405"/>
      <c r="F173" s="20"/>
    </row>
    <row r="174" spans="1:17" s="29" customFormat="1" ht="63.75">
      <c r="A174" s="75" t="s">
        <v>171</v>
      </c>
      <c r="B174" s="85" t="s">
        <v>655</v>
      </c>
      <c r="C174" s="15"/>
      <c r="D174" s="76"/>
      <c r="E174" s="405"/>
      <c r="F174" s="20"/>
      <c r="G174" s="9"/>
      <c r="H174" s="9"/>
      <c r="I174" s="8"/>
      <c r="J174" s="9"/>
      <c r="K174" s="9"/>
    </row>
    <row r="175" spans="1:17">
      <c r="A175" s="75" t="s">
        <v>178</v>
      </c>
      <c r="B175" s="85" t="s">
        <v>172</v>
      </c>
      <c r="C175" s="15" t="s">
        <v>6</v>
      </c>
      <c r="D175" s="76">
        <v>222</v>
      </c>
      <c r="E175" s="405"/>
      <c r="F175" s="20">
        <f>D175*E175</f>
        <v>0</v>
      </c>
      <c r="H175" s="12"/>
      <c r="I175" s="11"/>
      <c r="J175" s="12"/>
      <c r="K175" s="12"/>
    </row>
    <row r="176" spans="1:17">
      <c r="A176" s="75" t="s">
        <v>179</v>
      </c>
      <c r="B176" s="85" t="s">
        <v>173</v>
      </c>
      <c r="C176" s="15" t="s">
        <v>6</v>
      </c>
      <c r="D176" s="76">
        <v>6.54</v>
      </c>
      <c r="E176" s="405"/>
      <c r="F176" s="20">
        <f>D176*E176</f>
        <v>0</v>
      </c>
      <c r="H176" s="22"/>
      <c r="J176" s="22"/>
      <c r="K176" s="22"/>
    </row>
    <row r="177" spans="1:12">
      <c r="A177" s="75"/>
      <c r="B177" s="85"/>
      <c r="D177" s="76"/>
      <c r="E177" s="405"/>
      <c r="F177" s="20"/>
      <c r="H177" s="22"/>
      <c r="J177" s="22"/>
      <c r="K177" s="22"/>
      <c r="L177" s="54"/>
    </row>
    <row r="178" spans="1:12" ht="25.5">
      <c r="A178" s="75" t="s">
        <v>174</v>
      </c>
      <c r="B178" s="85" t="s">
        <v>180</v>
      </c>
      <c r="C178" s="15" t="s">
        <v>6</v>
      </c>
      <c r="D178" s="76">
        <f>D175+D176</f>
        <v>228.54</v>
      </c>
      <c r="E178" s="405"/>
      <c r="F178" s="20">
        <f>D178*E178</f>
        <v>0</v>
      </c>
      <c r="H178" s="22"/>
      <c r="J178" s="22"/>
      <c r="K178" s="22"/>
    </row>
    <row r="179" spans="1:12">
      <c r="A179" s="75"/>
      <c r="B179" s="85"/>
      <c r="D179" s="76"/>
      <c r="E179" s="405"/>
      <c r="F179" s="20"/>
      <c r="G179" s="22"/>
      <c r="H179" s="22"/>
      <c r="J179" s="22"/>
      <c r="K179" s="22"/>
    </row>
    <row r="180" spans="1:12">
      <c r="A180" s="75"/>
      <c r="B180" s="85"/>
      <c r="D180" s="76"/>
      <c r="E180" s="405"/>
      <c r="F180" s="77"/>
      <c r="G180" s="22"/>
      <c r="H180" s="19"/>
      <c r="J180" s="22"/>
      <c r="K180" s="22"/>
    </row>
    <row r="181" spans="1:12">
      <c r="A181" s="23"/>
      <c r="B181" s="82" t="s">
        <v>80</v>
      </c>
      <c r="C181" s="25"/>
      <c r="D181" s="26"/>
      <c r="E181" s="401"/>
      <c r="F181" s="28">
        <f>SUM(F164:F180)</f>
        <v>0</v>
      </c>
      <c r="G181" s="22"/>
    </row>
    <row r="182" spans="1:12">
      <c r="G182" s="22"/>
    </row>
    <row r="183" spans="1:12" ht="25.5">
      <c r="A183" s="5" t="s">
        <v>99</v>
      </c>
      <c r="B183" s="38" t="s">
        <v>120</v>
      </c>
      <c r="C183" s="7" t="s">
        <v>45</v>
      </c>
      <c r="D183" s="8" t="s">
        <v>46</v>
      </c>
      <c r="E183" s="399"/>
      <c r="F183" s="9" t="s">
        <v>48</v>
      </c>
    </row>
    <row r="184" spans="1:12" s="29" customFormat="1" ht="38.25">
      <c r="A184" s="30"/>
      <c r="B184" s="43" t="s">
        <v>35</v>
      </c>
      <c r="C184" s="31"/>
      <c r="D184" s="101"/>
      <c r="E184" s="402"/>
      <c r="F184" s="57"/>
      <c r="G184" s="272"/>
      <c r="H184" s="272"/>
      <c r="I184" s="27"/>
      <c r="J184" s="272"/>
      <c r="K184" s="272"/>
    </row>
    <row r="185" spans="1:12" ht="140.25">
      <c r="A185" s="30"/>
      <c r="B185" s="43" t="s">
        <v>599</v>
      </c>
      <c r="C185" s="31"/>
      <c r="D185" s="101"/>
      <c r="E185" s="402"/>
      <c r="F185" s="57"/>
    </row>
    <row r="186" spans="1:12" s="29" customFormat="1">
      <c r="A186" s="16"/>
      <c r="B186" s="278"/>
      <c r="C186" s="271"/>
      <c r="D186" s="18"/>
      <c r="E186" s="394"/>
      <c r="F186" s="18"/>
      <c r="G186" s="9"/>
      <c r="H186" s="9"/>
      <c r="I186" s="8"/>
      <c r="J186" s="9"/>
      <c r="K186" s="9"/>
    </row>
    <row r="187" spans="1:12" ht="216.75">
      <c r="A187" s="16" t="s">
        <v>100</v>
      </c>
      <c r="B187" s="32" t="s">
        <v>600</v>
      </c>
      <c r="C187" s="15" t="s">
        <v>6</v>
      </c>
      <c r="D187" s="19">
        <f>184*1.005+78.5*1.015</f>
        <v>264.59749999999997</v>
      </c>
      <c r="E187" s="402"/>
      <c r="F187" s="22">
        <f t="shared" ref="F187" si="12">D187*E187</f>
        <v>0</v>
      </c>
      <c r="G187" s="393"/>
    </row>
    <row r="188" spans="1:12" ht="229.5">
      <c r="A188" s="16" t="s">
        <v>101</v>
      </c>
      <c r="B188" s="32" t="s">
        <v>603</v>
      </c>
      <c r="C188" s="15" t="s">
        <v>6</v>
      </c>
      <c r="D188" s="19">
        <f>371.81+24.2-(13*2.1*1.5+1.5*2.2+1*2.2+1.2*1.5)</f>
        <v>347.76</v>
      </c>
      <c r="E188" s="402"/>
      <c r="F188" s="22">
        <f t="shared" ref="F188:F189" si="13">D188*E188</f>
        <v>0</v>
      </c>
    </row>
    <row r="189" spans="1:12" ht="129" customHeight="1">
      <c r="A189" s="16" t="s">
        <v>486</v>
      </c>
      <c r="B189" s="32" t="s">
        <v>601</v>
      </c>
      <c r="C189" s="15" t="s">
        <v>6</v>
      </c>
      <c r="D189" s="19">
        <f>1.96*3.83</f>
        <v>7.5068000000000001</v>
      </c>
      <c r="E189" s="402"/>
      <c r="F189" s="20">
        <f t="shared" si="13"/>
        <v>0</v>
      </c>
    </row>
    <row r="190" spans="1:12">
      <c r="A190" s="30"/>
      <c r="B190" s="33"/>
      <c r="C190" s="13"/>
      <c r="D190" s="34"/>
      <c r="E190" s="402"/>
      <c r="F190" s="20"/>
    </row>
    <row r="191" spans="1:12">
      <c r="A191" s="23"/>
      <c r="B191" s="24" t="s">
        <v>31</v>
      </c>
      <c r="C191" s="25"/>
      <c r="D191" s="26"/>
      <c r="E191" s="401"/>
      <c r="F191" s="272">
        <f>SUM(F184:F190)</f>
        <v>0</v>
      </c>
      <c r="G191" s="22"/>
      <c r="H191" s="22"/>
      <c r="J191" s="22"/>
      <c r="K191" s="22"/>
    </row>
    <row r="192" spans="1:12">
      <c r="G192" s="22"/>
      <c r="H192" s="22"/>
      <c r="J192" s="22"/>
      <c r="K192" s="22"/>
    </row>
    <row r="193" spans="1:14">
      <c r="A193" s="5" t="s">
        <v>102</v>
      </c>
      <c r="B193" s="38" t="s">
        <v>25</v>
      </c>
      <c r="C193" s="7" t="s">
        <v>45</v>
      </c>
      <c r="D193" s="8" t="s">
        <v>46</v>
      </c>
      <c r="E193" s="399"/>
      <c r="F193" s="9" t="s">
        <v>48</v>
      </c>
      <c r="G193" s="22"/>
      <c r="H193" s="22"/>
      <c r="J193" s="22"/>
      <c r="K193" s="22"/>
    </row>
    <row r="194" spans="1:14" ht="38.25">
      <c r="A194" s="1"/>
      <c r="B194" s="43" t="s">
        <v>35</v>
      </c>
      <c r="C194" s="10"/>
      <c r="D194" s="11"/>
      <c r="E194" s="397"/>
      <c r="F194" s="12"/>
      <c r="G194" s="22"/>
    </row>
    <row r="195" spans="1:14" ht="102">
      <c r="A195" s="16" t="s">
        <v>167</v>
      </c>
      <c r="B195" s="105" t="s">
        <v>602</v>
      </c>
      <c r="C195" s="15" t="s">
        <v>15</v>
      </c>
      <c r="D195" s="18">
        <v>8.5</v>
      </c>
      <c r="F195" s="22">
        <f t="shared" ref="F195:F197" si="14">D195*E195</f>
        <v>0</v>
      </c>
      <c r="G195" s="22"/>
    </row>
    <row r="196" spans="1:14" ht="25.5">
      <c r="A196" s="16" t="s">
        <v>79</v>
      </c>
      <c r="B196" s="105" t="s">
        <v>650</v>
      </c>
      <c r="C196" s="15" t="s">
        <v>6</v>
      </c>
      <c r="D196" s="19">
        <f>D195</f>
        <v>8.5</v>
      </c>
      <c r="F196" s="22">
        <f t="shared" si="14"/>
        <v>0</v>
      </c>
    </row>
    <row r="197" spans="1:14" ht="51">
      <c r="A197" s="16" t="s">
        <v>103</v>
      </c>
      <c r="B197" s="106" t="s">
        <v>121</v>
      </c>
      <c r="C197" s="15" t="s">
        <v>6</v>
      </c>
      <c r="D197" s="19">
        <f>7.2+3.6</f>
        <v>10.8</v>
      </c>
      <c r="F197" s="22">
        <f t="shared" si="14"/>
        <v>0</v>
      </c>
    </row>
    <row r="198" spans="1:14">
      <c r="G198" s="22"/>
      <c r="H198" s="22"/>
      <c r="J198" s="22"/>
      <c r="K198" s="22"/>
    </row>
    <row r="199" spans="1:14">
      <c r="A199" s="23"/>
      <c r="B199" s="24" t="s">
        <v>26</v>
      </c>
      <c r="C199" s="25"/>
      <c r="D199" s="26"/>
      <c r="E199" s="401"/>
      <c r="F199" s="272">
        <f>SUM(F194:F198)</f>
        <v>0</v>
      </c>
      <c r="G199" s="22"/>
      <c r="H199" s="22"/>
      <c r="J199" s="22"/>
      <c r="K199" s="22"/>
    </row>
    <row r="200" spans="1:14">
      <c r="G200" s="22"/>
      <c r="H200" s="22"/>
      <c r="J200" s="22"/>
      <c r="K200" s="22"/>
    </row>
    <row r="201" spans="1:14" ht="25.5">
      <c r="A201" s="5" t="s">
        <v>104</v>
      </c>
      <c r="B201" s="83" t="s">
        <v>94</v>
      </c>
      <c r="C201" s="7" t="s">
        <v>45</v>
      </c>
      <c r="D201" s="8" t="s">
        <v>46</v>
      </c>
      <c r="E201" s="399"/>
      <c r="F201" s="9" t="s">
        <v>48</v>
      </c>
      <c r="G201" s="22"/>
      <c r="H201" s="22"/>
      <c r="J201" s="22"/>
      <c r="K201" s="22"/>
    </row>
    <row r="202" spans="1:14" ht="51">
      <c r="A202" s="1"/>
      <c r="B202" s="17" t="s">
        <v>96</v>
      </c>
      <c r="G202" s="22"/>
      <c r="H202" s="22"/>
      <c r="J202" s="22"/>
      <c r="K202" s="22"/>
    </row>
    <row r="203" spans="1:14" ht="25.5">
      <c r="B203" s="17" t="s">
        <v>97</v>
      </c>
      <c r="G203" s="22"/>
      <c r="H203" s="22"/>
      <c r="J203" s="22"/>
      <c r="K203" s="22"/>
    </row>
    <row r="204" spans="1:14">
      <c r="B204" s="17" t="s">
        <v>98</v>
      </c>
      <c r="G204" s="22"/>
      <c r="H204" s="22"/>
      <c r="J204" s="22"/>
      <c r="K204" s="22"/>
    </row>
    <row r="205" spans="1:14">
      <c r="L205" s="279"/>
      <c r="N205" s="17"/>
    </row>
    <row r="206" spans="1:14" ht="76.5">
      <c r="A206" s="16" t="s">
        <v>105</v>
      </c>
      <c r="B206" s="17" t="s">
        <v>487</v>
      </c>
      <c r="C206" s="15" t="s">
        <v>6</v>
      </c>
      <c r="D206" s="19">
        <f>6.86*3.3+9.4*3.92+9.45*3.92+2.9*3.3+1.6*3.3</f>
        <v>111.38</v>
      </c>
      <c r="F206" s="22">
        <f t="shared" ref="F206:F209" si="15">D206*E206</f>
        <v>0</v>
      </c>
      <c r="G206" s="22"/>
      <c r="H206" s="22"/>
      <c r="J206" s="22"/>
      <c r="K206" s="22"/>
    </row>
    <row r="207" spans="1:14" ht="191.25">
      <c r="A207" s="16" t="s">
        <v>106</v>
      </c>
      <c r="B207" s="17" t="s">
        <v>646</v>
      </c>
      <c r="C207" s="15" t="s">
        <v>6</v>
      </c>
      <c r="D207" s="19">
        <f>(6*4+4.55*4+1.95)*2.95</f>
        <v>130.24250000000004</v>
      </c>
      <c r="F207" s="22">
        <f t="shared" ref="F207" si="16">D207*E207</f>
        <v>0</v>
      </c>
      <c r="G207" s="22"/>
      <c r="H207" s="22"/>
      <c r="J207" s="22"/>
      <c r="K207" s="22"/>
    </row>
    <row r="208" spans="1:14" ht="204">
      <c r="A208" s="16" t="s">
        <v>123</v>
      </c>
      <c r="B208" s="17" t="s">
        <v>665</v>
      </c>
      <c r="C208" s="80" t="s">
        <v>6</v>
      </c>
      <c r="D208" s="19">
        <f>89.8*2.95-(13*(2.1*1.5-1)+(1.5*2.2-1)+(1*2.2-1)+(1.2*1.5-1))</f>
        <v>232.66000000000003</v>
      </c>
      <c r="F208" s="22">
        <f t="shared" si="15"/>
        <v>0</v>
      </c>
      <c r="G208" s="22"/>
      <c r="H208" s="22"/>
      <c r="J208" s="22"/>
      <c r="K208" s="22"/>
    </row>
    <row r="209" spans="1:13" s="29" customFormat="1" ht="140.25">
      <c r="A209" s="16" t="s">
        <v>122</v>
      </c>
      <c r="B209" s="17" t="s">
        <v>488</v>
      </c>
      <c r="C209" s="13" t="s">
        <v>6</v>
      </c>
      <c r="D209" s="34">
        <v>220</v>
      </c>
      <c r="E209" s="402"/>
      <c r="F209" s="22">
        <f t="shared" si="15"/>
        <v>0</v>
      </c>
      <c r="G209" s="272"/>
      <c r="H209" s="272"/>
      <c r="I209" s="27"/>
      <c r="J209" s="272"/>
      <c r="K209" s="272"/>
    </row>
    <row r="210" spans="1:13">
      <c r="B210" s="17"/>
    </row>
    <row r="211" spans="1:13" ht="25.5">
      <c r="A211" s="23"/>
      <c r="B211" s="82" t="s">
        <v>95</v>
      </c>
      <c r="C211" s="25"/>
      <c r="D211" s="26"/>
      <c r="E211" s="401"/>
      <c r="F211" s="272">
        <f>SUM(F202:F209)</f>
        <v>0</v>
      </c>
    </row>
    <row r="212" spans="1:13" s="29" customFormat="1">
      <c r="A212" s="16"/>
      <c r="B212" s="21"/>
      <c r="C212" s="15"/>
      <c r="D212" s="18"/>
      <c r="E212" s="394"/>
      <c r="F212" s="18"/>
      <c r="G212" s="9"/>
      <c r="L212" s="73"/>
      <c r="M212" s="74"/>
    </row>
    <row r="213" spans="1:13">
      <c r="A213" s="5" t="s">
        <v>107</v>
      </c>
      <c r="B213" s="38" t="s">
        <v>3</v>
      </c>
      <c r="C213" s="7" t="s">
        <v>45</v>
      </c>
      <c r="D213" s="8" t="s">
        <v>46</v>
      </c>
      <c r="E213" s="399"/>
      <c r="F213" s="9" t="s">
        <v>48</v>
      </c>
      <c r="G213" s="21"/>
      <c r="H213" s="17"/>
      <c r="I213" s="21"/>
      <c r="J213" s="21"/>
      <c r="K213" s="19"/>
      <c r="L213" s="104"/>
    </row>
    <row r="214" spans="1:13" ht="267.75">
      <c r="B214" s="17" t="s">
        <v>489</v>
      </c>
      <c r="G214" s="20"/>
      <c r="H214" s="21"/>
      <c r="I214" s="17"/>
      <c r="J214" s="21"/>
      <c r="K214" s="21"/>
      <c r="L214" s="19"/>
      <c r="M214" s="104"/>
    </row>
    <row r="215" spans="1:13">
      <c r="B215" s="87" t="s">
        <v>13</v>
      </c>
      <c r="G215" s="20"/>
      <c r="H215" s="21"/>
      <c r="I215" s="17"/>
      <c r="J215" s="21"/>
      <c r="K215" s="21"/>
      <c r="L215" s="19"/>
      <c r="M215" s="104"/>
    </row>
    <row r="216" spans="1:13" ht="102">
      <c r="B216" s="17" t="s">
        <v>125</v>
      </c>
      <c r="G216" s="20"/>
      <c r="H216" s="21"/>
      <c r="I216" s="17"/>
      <c r="J216" s="21"/>
      <c r="K216" s="21"/>
      <c r="L216" s="19"/>
      <c r="M216" s="104"/>
    </row>
    <row r="217" spans="1:13" ht="76.5">
      <c r="A217" s="16" t="s">
        <v>108</v>
      </c>
      <c r="B217" s="17" t="s">
        <v>490</v>
      </c>
      <c r="G217" s="389"/>
      <c r="H217" s="21"/>
      <c r="I217" s="17"/>
      <c r="J217" s="21"/>
      <c r="K217" s="21"/>
      <c r="L217" s="19"/>
      <c r="M217" s="104"/>
    </row>
    <row r="218" spans="1:13">
      <c r="B218" s="42" t="s">
        <v>619</v>
      </c>
      <c r="C218" s="15" t="s">
        <v>32</v>
      </c>
      <c r="D218" s="18">
        <v>13</v>
      </c>
      <c r="F218" s="22">
        <f t="shared" ref="F218:F219" si="17">D218*E218</f>
        <v>0</v>
      </c>
      <c r="G218" s="20"/>
      <c r="H218" s="21"/>
      <c r="I218" s="17"/>
      <c r="J218" s="21"/>
      <c r="K218" s="21"/>
      <c r="L218" s="19"/>
      <c r="M218" s="104"/>
    </row>
    <row r="219" spans="1:13">
      <c r="B219" s="42" t="s">
        <v>491</v>
      </c>
      <c r="C219" s="15" t="s">
        <v>32</v>
      </c>
      <c r="D219" s="18">
        <v>1</v>
      </c>
      <c r="F219" s="22">
        <f t="shared" si="17"/>
        <v>0</v>
      </c>
      <c r="G219" s="20"/>
      <c r="H219" s="21"/>
      <c r="I219" s="17"/>
      <c r="J219" s="21"/>
      <c r="K219" s="21"/>
      <c r="L219" s="19"/>
      <c r="M219" s="104"/>
    </row>
    <row r="220" spans="1:13">
      <c r="F220" s="22"/>
      <c r="G220" s="20"/>
      <c r="H220" s="21"/>
      <c r="I220" s="17"/>
      <c r="J220" s="21"/>
      <c r="K220" s="21"/>
      <c r="L220" s="19"/>
      <c r="M220" s="104"/>
    </row>
    <row r="221" spans="1:13" ht="102">
      <c r="A221" s="16" t="s">
        <v>124</v>
      </c>
      <c r="B221" s="17" t="s">
        <v>647</v>
      </c>
      <c r="F221" s="22"/>
      <c r="G221" s="389"/>
      <c r="H221" s="21"/>
      <c r="I221" s="17"/>
      <c r="J221" s="21"/>
      <c r="K221" s="21"/>
      <c r="L221" s="19"/>
      <c r="M221" s="104"/>
    </row>
    <row r="222" spans="1:13" ht="25.5">
      <c r="B222" s="17" t="s">
        <v>492</v>
      </c>
      <c r="C222" s="15" t="s">
        <v>32</v>
      </c>
      <c r="D222" s="18">
        <v>1</v>
      </c>
      <c r="F222" s="22">
        <f t="shared" ref="F222" si="18">D222*E222</f>
        <v>0</v>
      </c>
      <c r="G222" s="20"/>
      <c r="H222" s="21"/>
      <c r="I222" s="17"/>
      <c r="J222" s="21"/>
      <c r="K222" s="21"/>
      <c r="L222" s="19"/>
      <c r="M222" s="104"/>
    </row>
    <row r="223" spans="1:13">
      <c r="B223" s="87"/>
      <c r="G223" s="20"/>
      <c r="H223" s="21"/>
      <c r="I223" s="17"/>
      <c r="J223" s="21"/>
      <c r="K223" s="21"/>
      <c r="L223" s="19"/>
      <c r="M223" s="104"/>
    </row>
    <row r="224" spans="1:13" ht="127.5">
      <c r="A224" s="16" t="s">
        <v>126</v>
      </c>
      <c r="B224" s="17" t="s">
        <v>656</v>
      </c>
      <c r="G224" s="389"/>
      <c r="H224" s="21"/>
      <c r="I224" s="17"/>
      <c r="J224" s="21"/>
      <c r="K224" s="21"/>
      <c r="L224" s="19"/>
      <c r="M224" s="104"/>
    </row>
    <row r="225" spans="1:13" ht="25.5">
      <c r="B225" s="42" t="s">
        <v>493</v>
      </c>
      <c r="C225" s="15" t="s">
        <v>32</v>
      </c>
      <c r="D225" s="18">
        <v>1</v>
      </c>
      <c r="F225" s="22">
        <f t="shared" ref="F225:F231" si="19">D225*E225</f>
        <v>0</v>
      </c>
      <c r="G225" s="20"/>
      <c r="H225" s="21"/>
      <c r="I225" s="17"/>
      <c r="J225" s="21"/>
      <c r="K225" s="21"/>
      <c r="L225" s="19"/>
      <c r="M225" s="104"/>
    </row>
    <row r="226" spans="1:13" ht="25.5">
      <c r="B226" s="42" t="s">
        <v>494</v>
      </c>
      <c r="C226" s="15" t="s">
        <v>32</v>
      </c>
      <c r="D226" s="18">
        <v>1</v>
      </c>
      <c r="F226" s="22">
        <f t="shared" si="19"/>
        <v>0</v>
      </c>
      <c r="G226" s="20"/>
      <c r="H226" s="21"/>
      <c r="I226" s="17"/>
      <c r="J226" s="21"/>
      <c r="K226" s="21"/>
      <c r="L226" s="19"/>
      <c r="M226" s="104"/>
    </row>
    <row r="227" spans="1:13" ht="25.5">
      <c r="B227" s="42" t="s">
        <v>495</v>
      </c>
      <c r="C227" s="15" t="s">
        <v>32</v>
      </c>
      <c r="D227" s="18">
        <v>1</v>
      </c>
      <c r="F227" s="22">
        <f t="shared" si="19"/>
        <v>0</v>
      </c>
      <c r="G227" s="20"/>
      <c r="H227" s="21"/>
      <c r="I227" s="17"/>
      <c r="J227" s="21"/>
      <c r="K227" s="21"/>
      <c r="L227" s="19"/>
      <c r="M227" s="104"/>
    </row>
    <row r="228" spans="1:13" ht="25.5">
      <c r="B228" s="42" t="s">
        <v>496</v>
      </c>
      <c r="C228" s="15" t="s">
        <v>32</v>
      </c>
      <c r="D228" s="18">
        <v>1</v>
      </c>
      <c r="F228" s="22">
        <f t="shared" si="19"/>
        <v>0</v>
      </c>
      <c r="G228" s="20"/>
      <c r="H228" s="21"/>
      <c r="I228" s="17"/>
      <c r="J228" s="21"/>
      <c r="K228" s="21"/>
      <c r="L228" s="19"/>
      <c r="M228" s="104"/>
    </row>
    <row r="229" spans="1:13" ht="25.5">
      <c r="B229" s="42" t="s">
        <v>497</v>
      </c>
      <c r="C229" s="15" t="s">
        <v>32</v>
      </c>
      <c r="D229" s="18">
        <v>1</v>
      </c>
      <c r="F229" s="22">
        <f t="shared" si="19"/>
        <v>0</v>
      </c>
      <c r="G229" s="20"/>
      <c r="H229" s="21"/>
      <c r="I229" s="17"/>
      <c r="J229" s="21"/>
      <c r="K229" s="21"/>
      <c r="L229" s="19"/>
      <c r="M229" s="104"/>
    </row>
    <row r="230" spans="1:13" ht="25.5">
      <c r="B230" s="42" t="s">
        <v>498</v>
      </c>
      <c r="C230" s="15" t="s">
        <v>32</v>
      </c>
      <c r="D230" s="18">
        <v>1</v>
      </c>
      <c r="F230" s="22">
        <f t="shared" si="19"/>
        <v>0</v>
      </c>
      <c r="G230" s="20"/>
      <c r="H230" s="21"/>
      <c r="I230" s="17"/>
      <c r="J230" s="21"/>
      <c r="K230" s="21"/>
      <c r="L230" s="19"/>
      <c r="M230" s="104"/>
    </row>
    <row r="231" spans="1:13" ht="25.5">
      <c r="B231" s="42" t="s">
        <v>503</v>
      </c>
      <c r="C231" s="15" t="s">
        <v>32</v>
      </c>
      <c r="D231" s="18">
        <v>1</v>
      </c>
      <c r="F231" s="22">
        <f t="shared" si="19"/>
        <v>0</v>
      </c>
      <c r="G231" s="20"/>
      <c r="H231" s="21"/>
      <c r="I231" s="17"/>
      <c r="J231" s="21"/>
      <c r="K231" s="21"/>
      <c r="L231" s="19"/>
      <c r="M231" s="104"/>
    </row>
    <row r="232" spans="1:13">
      <c r="B232" s="17"/>
      <c r="G232" s="20"/>
      <c r="H232" s="21"/>
      <c r="I232" s="17"/>
      <c r="J232" s="21"/>
      <c r="K232" s="21"/>
      <c r="L232" s="19"/>
      <c r="M232" s="104"/>
    </row>
    <row r="233" spans="1:13">
      <c r="B233" s="88" t="s">
        <v>127</v>
      </c>
      <c r="F233" s="22"/>
      <c r="G233" s="20"/>
      <c r="H233" s="21"/>
      <c r="I233" s="17"/>
      <c r="J233" s="21"/>
      <c r="K233" s="21"/>
      <c r="L233" s="19"/>
      <c r="M233" s="104"/>
    </row>
    <row r="234" spans="1:13" ht="63.75">
      <c r="A234" s="16" t="s">
        <v>128</v>
      </c>
      <c r="B234" s="388" t="s">
        <v>648</v>
      </c>
      <c r="C234" s="15" t="s">
        <v>32</v>
      </c>
      <c r="D234" s="18">
        <v>1</v>
      </c>
      <c r="F234" s="22">
        <f>D234*E234</f>
        <v>0</v>
      </c>
      <c r="G234" s="389"/>
      <c r="H234" s="21"/>
      <c r="I234" s="21"/>
      <c r="J234" s="21"/>
      <c r="K234" s="21"/>
      <c r="L234" s="19"/>
      <c r="M234" s="104"/>
    </row>
    <row r="235" spans="1:13" s="29" customFormat="1">
      <c r="A235" s="16"/>
      <c r="B235" s="88"/>
      <c r="C235" s="15"/>
      <c r="D235" s="18"/>
      <c r="E235" s="394"/>
      <c r="F235" s="22"/>
      <c r="G235" s="28"/>
      <c r="L235" s="27"/>
      <c r="M235" s="28"/>
    </row>
    <row r="236" spans="1:13">
      <c r="A236" s="23"/>
      <c r="B236" s="41" t="s">
        <v>14</v>
      </c>
      <c r="C236" s="25"/>
      <c r="D236" s="26"/>
      <c r="E236" s="401"/>
      <c r="F236" s="272">
        <f>SUM(F216:F235)</f>
        <v>0</v>
      </c>
      <c r="H236" s="21"/>
      <c r="I236" s="21"/>
      <c r="J236" s="21"/>
      <c r="K236" s="21"/>
      <c r="L236" s="19"/>
      <c r="M236" s="18"/>
    </row>
    <row r="237" spans="1:13">
      <c r="H237" s="21"/>
      <c r="I237" s="21"/>
      <c r="J237" s="21"/>
      <c r="K237" s="21"/>
      <c r="L237" s="19"/>
      <c r="M237" s="18"/>
    </row>
    <row r="238" spans="1:13" s="29" customFormat="1">
      <c r="A238" s="16"/>
      <c r="B238" s="21"/>
      <c r="C238" s="15"/>
      <c r="D238" s="18"/>
      <c r="E238" s="394"/>
      <c r="F238" s="18"/>
      <c r="G238" s="9"/>
      <c r="L238" s="73"/>
      <c r="M238" s="74"/>
    </row>
    <row r="239" spans="1:13">
      <c r="A239" s="71" t="s">
        <v>109</v>
      </c>
      <c r="B239" s="83" t="s">
        <v>81</v>
      </c>
      <c r="C239" s="7" t="s">
        <v>45</v>
      </c>
      <c r="D239" s="8" t="s">
        <v>46</v>
      </c>
      <c r="E239" s="399"/>
      <c r="F239" s="9" t="s">
        <v>48</v>
      </c>
      <c r="G239" s="77"/>
      <c r="H239" s="21"/>
      <c r="I239" s="21"/>
      <c r="J239" s="21"/>
      <c r="K239" s="21"/>
      <c r="L239" s="76"/>
      <c r="M239" s="77"/>
    </row>
    <row r="240" spans="1:13" ht="89.25">
      <c r="A240" s="16" t="s">
        <v>592</v>
      </c>
      <c r="B240" s="108" t="s">
        <v>657</v>
      </c>
      <c r="F240" s="20"/>
      <c r="G240" s="12"/>
      <c r="H240" s="12"/>
      <c r="I240" s="11"/>
      <c r="J240" s="12"/>
      <c r="K240" s="12"/>
    </row>
    <row r="241" spans="1:11">
      <c r="A241" s="16" t="s">
        <v>182</v>
      </c>
      <c r="B241" s="211" t="s">
        <v>504</v>
      </c>
      <c r="F241" s="20"/>
      <c r="G241" s="12"/>
      <c r="H241" s="12"/>
      <c r="I241" s="11"/>
      <c r="J241" s="12"/>
      <c r="K241" s="12"/>
    </row>
    <row r="242" spans="1:11" ht="25.5">
      <c r="B242" s="17" t="s">
        <v>505</v>
      </c>
      <c r="F242" s="20"/>
      <c r="G242" s="22"/>
      <c r="H242" s="22"/>
      <c r="J242" s="22"/>
      <c r="K242" s="22"/>
    </row>
    <row r="243" spans="1:11" ht="25.5">
      <c r="B243" s="17" t="s">
        <v>506</v>
      </c>
      <c r="F243" s="20"/>
      <c r="G243" s="22"/>
      <c r="H243" s="22"/>
      <c r="I243" s="11"/>
      <c r="J243" s="22"/>
      <c r="K243" s="22"/>
    </row>
    <row r="244" spans="1:11" ht="25.5">
      <c r="B244" s="17" t="s">
        <v>507</v>
      </c>
      <c r="F244" s="20"/>
      <c r="G244" s="12"/>
      <c r="H244" s="12"/>
      <c r="I244" s="11"/>
      <c r="J244" s="12"/>
      <c r="K244" s="12"/>
    </row>
    <row r="245" spans="1:11">
      <c r="B245" s="21" t="s">
        <v>508</v>
      </c>
      <c r="F245" s="20"/>
      <c r="G245" s="12"/>
      <c r="H245" s="12"/>
      <c r="I245" s="11"/>
      <c r="J245" s="12"/>
      <c r="K245" s="12"/>
    </row>
    <row r="246" spans="1:11">
      <c r="B246" s="21" t="s">
        <v>181</v>
      </c>
      <c r="C246" s="15" t="s">
        <v>72</v>
      </c>
      <c r="D246" s="19">
        <v>71.209999999999994</v>
      </c>
      <c r="F246" s="20">
        <f t="shared" ref="F246" si="20">D246*E246</f>
        <v>0</v>
      </c>
      <c r="G246" s="22"/>
      <c r="H246" s="22"/>
      <c r="J246" s="22"/>
      <c r="K246" s="22"/>
    </row>
    <row r="247" spans="1:11">
      <c r="B247" s="108"/>
      <c r="F247" s="20"/>
      <c r="G247" s="12"/>
      <c r="H247" s="12"/>
      <c r="I247" s="11"/>
      <c r="J247" s="12"/>
      <c r="K247" s="12"/>
    </row>
    <row r="248" spans="1:11" ht="25.5">
      <c r="A248" s="16" t="s">
        <v>183</v>
      </c>
      <c r="B248" s="211" t="s">
        <v>509</v>
      </c>
      <c r="F248" s="20"/>
      <c r="G248" s="12"/>
      <c r="H248" s="12"/>
      <c r="I248" s="11"/>
      <c r="J248" s="12"/>
      <c r="K248" s="12"/>
    </row>
    <row r="249" spans="1:11" ht="25.5">
      <c r="B249" s="17" t="s">
        <v>510</v>
      </c>
      <c r="F249" s="20"/>
      <c r="G249" s="22"/>
      <c r="H249" s="22"/>
      <c r="J249" s="22"/>
      <c r="K249" s="22"/>
    </row>
    <row r="250" spans="1:11" ht="25.5">
      <c r="B250" s="17" t="s">
        <v>511</v>
      </c>
      <c r="F250" s="20"/>
      <c r="G250" s="22"/>
      <c r="H250" s="22"/>
      <c r="J250" s="22"/>
      <c r="K250" s="22"/>
    </row>
    <row r="251" spans="1:11" ht="25.5">
      <c r="B251" s="17" t="s">
        <v>512</v>
      </c>
      <c r="F251" s="20"/>
      <c r="G251" s="12"/>
      <c r="H251" s="12"/>
      <c r="I251" s="11"/>
      <c r="J251" s="12"/>
      <c r="K251" s="12"/>
    </row>
    <row r="252" spans="1:11">
      <c r="B252" s="21" t="s">
        <v>513</v>
      </c>
      <c r="F252" s="20"/>
      <c r="G252" s="12"/>
      <c r="H252" s="12"/>
      <c r="I252" s="11"/>
      <c r="J252" s="12"/>
      <c r="K252" s="12"/>
    </row>
    <row r="253" spans="1:11">
      <c r="B253" s="21" t="s">
        <v>181</v>
      </c>
      <c r="C253" s="15" t="s">
        <v>72</v>
      </c>
      <c r="D253" s="19">
        <v>329.45</v>
      </c>
      <c r="F253" s="20">
        <f t="shared" ref="F253" si="21">D253*E253</f>
        <v>0</v>
      </c>
      <c r="G253" s="22"/>
      <c r="H253" s="22"/>
      <c r="J253" s="22"/>
      <c r="K253" s="22"/>
    </row>
    <row r="254" spans="1:11">
      <c r="B254" s="108"/>
      <c r="F254" s="20"/>
      <c r="G254" s="12"/>
      <c r="H254" s="12"/>
      <c r="I254" s="11"/>
      <c r="J254" s="12"/>
      <c r="K254" s="12"/>
    </row>
    <row r="255" spans="1:11" ht="63.75">
      <c r="A255" s="16" t="s">
        <v>514</v>
      </c>
      <c r="B255" s="108" t="s">
        <v>515</v>
      </c>
      <c r="F255" s="20"/>
      <c r="G255" s="12"/>
      <c r="H255" s="12"/>
      <c r="I255" s="11"/>
      <c r="J255" s="12"/>
      <c r="K255" s="12"/>
    </row>
    <row r="256" spans="1:11">
      <c r="B256" s="17" t="s">
        <v>516</v>
      </c>
      <c r="C256" s="15" t="s">
        <v>72</v>
      </c>
      <c r="D256" s="19">
        <f>30*3.992</f>
        <v>119.76</v>
      </c>
      <c r="F256" s="20">
        <f t="shared" ref="F256" si="22">D256*E256</f>
        <v>0</v>
      </c>
      <c r="G256" s="22"/>
      <c r="H256" s="22"/>
      <c r="J256" s="22"/>
      <c r="K256" s="22"/>
    </row>
    <row r="257" spans="1:13">
      <c r="B257" s="17"/>
      <c r="F257" s="20"/>
      <c r="G257" s="22"/>
      <c r="H257" s="22"/>
      <c r="I257" s="11"/>
      <c r="J257" s="22"/>
      <c r="K257" s="22"/>
    </row>
    <row r="258" spans="1:13" ht="51">
      <c r="A258" s="16" t="s">
        <v>517</v>
      </c>
      <c r="B258" s="108" t="s">
        <v>518</v>
      </c>
      <c r="F258" s="20"/>
      <c r="G258" s="12"/>
      <c r="H258" s="12"/>
      <c r="I258" s="11"/>
      <c r="J258" s="12"/>
      <c r="K258" s="12"/>
    </row>
    <row r="259" spans="1:13">
      <c r="B259" s="17" t="s">
        <v>519</v>
      </c>
      <c r="C259" s="15" t="s">
        <v>32</v>
      </c>
      <c r="D259" s="19">
        <v>1</v>
      </c>
      <c r="F259" s="20">
        <f t="shared" ref="F259" si="23">D259*E259</f>
        <v>0</v>
      </c>
      <c r="G259" s="22"/>
      <c r="H259" s="22"/>
      <c r="J259" s="22"/>
      <c r="K259" s="22"/>
    </row>
    <row r="260" spans="1:13">
      <c r="B260" s="108"/>
      <c r="F260" s="20"/>
      <c r="G260" s="22"/>
      <c r="H260" s="22"/>
      <c r="I260" s="11"/>
      <c r="J260" s="22"/>
      <c r="K260" s="22"/>
    </row>
    <row r="261" spans="1:13">
      <c r="A261" s="23"/>
      <c r="B261" s="86" t="s">
        <v>85</v>
      </c>
      <c r="C261" s="25"/>
      <c r="D261" s="26"/>
      <c r="E261" s="401"/>
      <c r="F261" s="28">
        <f>SUM(F241:F260)</f>
        <v>0</v>
      </c>
      <c r="G261" s="22"/>
      <c r="H261" s="22"/>
      <c r="I261" s="11"/>
      <c r="J261" s="22"/>
      <c r="K261" s="22"/>
    </row>
    <row r="262" spans="1:13">
      <c r="G262" s="22"/>
      <c r="H262" s="22"/>
      <c r="I262" s="11"/>
      <c r="J262" s="22"/>
      <c r="K262" s="22"/>
    </row>
    <row r="263" spans="1:13">
      <c r="A263" s="71" t="s">
        <v>110</v>
      </c>
      <c r="B263" s="83" t="s">
        <v>4</v>
      </c>
      <c r="C263" s="7" t="s">
        <v>45</v>
      </c>
      <c r="D263" s="8" t="s">
        <v>46</v>
      </c>
      <c r="E263" s="399"/>
      <c r="F263" s="9" t="s">
        <v>48</v>
      </c>
      <c r="G263" s="22"/>
      <c r="H263" s="22"/>
      <c r="I263" s="11"/>
      <c r="J263" s="22"/>
      <c r="K263" s="22"/>
    </row>
    <row r="264" spans="1:13">
      <c r="A264" s="75"/>
      <c r="B264" s="84" t="s">
        <v>86</v>
      </c>
      <c r="C264" s="60"/>
      <c r="D264" s="76"/>
      <c r="E264" s="405"/>
      <c r="F264" s="77"/>
      <c r="G264" s="22"/>
      <c r="H264" s="22"/>
      <c r="I264" s="11"/>
      <c r="J264" s="22"/>
      <c r="K264" s="22"/>
    </row>
    <row r="265" spans="1:13" ht="267.75">
      <c r="A265" s="1"/>
      <c r="B265" s="45" t="s">
        <v>520</v>
      </c>
      <c r="C265" s="10"/>
      <c r="D265" s="11"/>
      <c r="E265" s="397"/>
      <c r="F265" s="12"/>
      <c r="G265" s="22"/>
      <c r="H265" s="22"/>
      <c r="J265" s="22"/>
      <c r="K265" s="22"/>
    </row>
    <row r="266" spans="1:13" ht="89.25">
      <c r="A266" s="4" t="s">
        <v>82</v>
      </c>
      <c r="B266" s="43" t="s">
        <v>129</v>
      </c>
      <c r="C266" s="10"/>
      <c r="D266" s="11"/>
      <c r="E266" s="397"/>
      <c r="F266" s="12"/>
      <c r="G266" s="22"/>
      <c r="H266" s="22"/>
      <c r="I266" s="11"/>
      <c r="J266" s="22"/>
      <c r="K266" s="22"/>
    </row>
    <row r="267" spans="1:13">
      <c r="A267" s="4"/>
      <c r="B267" s="43" t="s">
        <v>134</v>
      </c>
      <c r="C267" s="10" t="s">
        <v>15</v>
      </c>
      <c r="D267" s="11">
        <f>12.2+6.3+14.95</f>
        <v>33.450000000000003</v>
      </c>
      <c r="E267" s="397"/>
      <c r="F267" s="22">
        <f t="shared" ref="F267:F268" si="24">D267*E267</f>
        <v>0</v>
      </c>
      <c r="G267" s="22"/>
      <c r="H267" s="22"/>
      <c r="J267" s="22"/>
      <c r="K267" s="22"/>
    </row>
    <row r="268" spans="1:13" ht="25.5">
      <c r="A268" s="4"/>
      <c r="B268" s="43" t="s">
        <v>521</v>
      </c>
      <c r="C268" s="10" t="s">
        <v>15</v>
      </c>
      <c r="D268" s="11">
        <v>3.85</v>
      </c>
      <c r="E268" s="397"/>
      <c r="F268" s="22">
        <f t="shared" si="24"/>
        <v>0</v>
      </c>
      <c r="G268" s="22"/>
      <c r="H268" s="22"/>
      <c r="J268" s="22"/>
      <c r="K268" s="22"/>
    </row>
    <row r="269" spans="1:13">
      <c r="A269" s="4"/>
      <c r="B269" s="43"/>
      <c r="C269" s="10"/>
      <c r="D269" s="11"/>
      <c r="E269" s="397"/>
      <c r="F269" s="12"/>
      <c r="G269" s="22"/>
      <c r="H269" s="22"/>
      <c r="I269" s="11"/>
      <c r="J269" s="22"/>
      <c r="K269" s="22"/>
    </row>
    <row r="270" spans="1:13" ht="102">
      <c r="A270" s="4" t="s">
        <v>83</v>
      </c>
      <c r="B270" s="43" t="s">
        <v>195</v>
      </c>
      <c r="C270" s="10"/>
      <c r="D270" s="11"/>
      <c r="E270" s="397"/>
      <c r="F270" s="12"/>
      <c r="H270" s="21"/>
      <c r="I270" s="21"/>
      <c r="J270" s="21"/>
      <c r="K270" s="21"/>
      <c r="L270" s="19"/>
      <c r="M270" s="18"/>
    </row>
    <row r="271" spans="1:13" s="29" customFormat="1">
      <c r="A271" s="4"/>
      <c r="B271" s="43" t="s">
        <v>192</v>
      </c>
      <c r="C271" s="10" t="s">
        <v>15</v>
      </c>
      <c r="D271" s="11">
        <v>3.1</v>
      </c>
      <c r="E271" s="397"/>
      <c r="F271" s="22">
        <f t="shared" ref="F271" si="25">D271*E271</f>
        <v>0</v>
      </c>
      <c r="G271" s="28"/>
      <c r="L271" s="27"/>
      <c r="M271" s="28"/>
    </row>
    <row r="272" spans="1:13">
      <c r="A272" s="4"/>
      <c r="B272" s="43"/>
      <c r="C272" s="10"/>
      <c r="D272" s="11"/>
      <c r="E272" s="397"/>
      <c r="F272" s="12"/>
      <c r="H272" s="21"/>
      <c r="I272" s="21"/>
      <c r="J272" s="21"/>
      <c r="K272" s="21"/>
      <c r="L272" s="19"/>
      <c r="M272" s="18"/>
    </row>
    <row r="273" spans="1:13" ht="63.75">
      <c r="A273" s="4" t="s">
        <v>84</v>
      </c>
      <c r="B273" s="43" t="s">
        <v>130</v>
      </c>
      <c r="C273" s="10"/>
      <c r="D273" s="11"/>
      <c r="E273" s="397"/>
      <c r="F273" s="12"/>
      <c r="H273" s="21"/>
      <c r="I273" s="21"/>
      <c r="J273" s="21"/>
      <c r="K273" s="21"/>
      <c r="L273" s="19"/>
      <c r="M273" s="18"/>
    </row>
    <row r="274" spans="1:13" s="29" customFormat="1">
      <c r="A274" s="4"/>
      <c r="B274" s="45" t="s">
        <v>194</v>
      </c>
      <c r="C274" s="10" t="s">
        <v>15</v>
      </c>
      <c r="D274" s="11">
        <f>4.3+4.5+7.16+7.33+7.63</f>
        <v>30.919999999999998</v>
      </c>
      <c r="E274" s="397"/>
      <c r="F274" s="22">
        <f t="shared" ref="F274" si="26">D274*E274</f>
        <v>0</v>
      </c>
      <c r="G274" s="9"/>
      <c r="L274" s="73"/>
      <c r="M274" s="74"/>
    </row>
    <row r="275" spans="1:13">
      <c r="A275" s="4"/>
      <c r="B275" s="45" t="s">
        <v>193</v>
      </c>
      <c r="C275" s="10" t="s">
        <v>15</v>
      </c>
      <c r="D275" s="11">
        <f>9.08+1.75+6.7</f>
        <v>17.53</v>
      </c>
      <c r="E275" s="397"/>
      <c r="F275" s="22">
        <f t="shared" ref="F275" si="27">D275*E275</f>
        <v>0</v>
      </c>
      <c r="G275" s="20"/>
      <c r="H275" s="21"/>
      <c r="I275" s="21"/>
      <c r="J275" s="21"/>
      <c r="K275" s="21"/>
      <c r="L275" s="19"/>
      <c r="M275" s="104"/>
    </row>
    <row r="276" spans="1:13">
      <c r="A276" s="4"/>
      <c r="B276" s="43"/>
      <c r="C276" s="10"/>
      <c r="D276" s="11"/>
      <c r="E276" s="397"/>
      <c r="F276" s="12"/>
      <c r="H276" s="21"/>
      <c r="I276" s="21"/>
      <c r="J276" s="21"/>
      <c r="K276" s="21"/>
      <c r="L276" s="19"/>
      <c r="M276" s="18"/>
    </row>
    <row r="277" spans="1:13" ht="38.25">
      <c r="A277" s="4" t="s">
        <v>111</v>
      </c>
      <c r="B277" s="43" t="s">
        <v>131</v>
      </c>
      <c r="C277" s="10"/>
      <c r="D277" s="11"/>
      <c r="E277" s="397"/>
      <c r="F277" s="12"/>
      <c r="G277" s="20"/>
      <c r="H277" s="21"/>
      <c r="J277" s="21"/>
      <c r="K277" s="21"/>
      <c r="L277" s="19"/>
      <c r="M277" s="104"/>
    </row>
    <row r="278" spans="1:13">
      <c r="A278" s="4"/>
      <c r="B278" s="43" t="s">
        <v>135</v>
      </c>
      <c r="C278" s="10" t="s">
        <v>15</v>
      </c>
      <c r="D278" s="11">
        <f>D267</f>
        <v>33.450000000000003</v>
      </c>
      <c r="E278" s="397"/>
      <c r="F278" s="22">
        <f t="shared" ref="F278" si="28">D278*E278</f>
        <v>0</v>
      </c>
      <c r="H278" s="21"/>
      <c r="I278" s="21"/>
      <c r="J278" s="21"/>
      <c r="K278" s="21"/>
      <c r="L278" s="19"/>
      <c r="M278" s="18"/>
    </row>
    <row r="279" spans="1:13">
      <c r="A279" s="4"/>
      <c r="B279" s="43"/>
      <c r="C279" s="10"/>
      <c r="D279" s="11"/>
      <c r="E279" s="397"/>
      <c r="F279" s="12"/>
      <c r="G279" s="20"/>
      <c r="H279" s="21"/>
      <c r="J279" s="21"/>
      <c r="K279" s="21"/>
      <c r="L279" s="19"/>
      <c r="M279" s="104"/>
    </row>
    <row r="280" spans="1:13" ht="38.25">
      <c r="A280" s="4" t="s">
        <v>144</v>
      </c>
      <c r="B280" s="43" t="s">
        <v>132</v>
      </c>
      <c r="C280" s="10"/>
      <c r="D280" s="11"/>
      <c r="E280" s="397"/>
      <c r="F280" s="12"/>
      <c r="H280" s="21"/>
      <c r="I280" s="21"/>
      <c r="J280" s="21"/>
      <c r="K280" s="21"/>
      <c r="L280" s="19"/>
      <c r="M280" s="18"/>
    </row>
    <row r="281" spans="1:13">
      <c r="A281" s="4"/>
      <c r="B281" s="43" t="s">
        <v>137</v>
      </c>
      <c r="C281" s="10" t="s">
        <v>15</v>
      </c>
      <c r="D281" s="11">
        <f>13*2.1+1.2</f>
        <v>28.5</v>
      </c>
      <c r="E281" s="397"/>
      <c r="F281" s="22">
        <f t="shared" ref="F281" si="29">D281*E281</f>
        <v>0</v>
      </c>
      <c r="G281" s="20"/>
      <c r="H281" s="21"/>
      <c r="I281" s="21"/>
      <c r="J281" s="21"/>
      <c r="K281" s="21"/>
      <c r="L281" s="19"/>
      <c r="M281" s="104"/>
    </row>
    <row r="282" spans="1:13">
      <c r="A282" s="4"/>
      <c r="B282" s="43"/>
      <c r="C282" s="10"/>
      <c r="D282" s="11"/>
      <c r="E282" s="397"/>
      <c r="F282" s="22"/>
      <c r="G282" s="20"/>
      <c r="H282" s="21"/>
      <c r="I282" s="21"/>
      <c r="J282" s="21"/>
      <c r="K282" s="21"/>
      <c r="L282" s="19"/>
      <c r="M282" s="104"/>
    </row>
    <row r="283" spans="1:13" ht="63.75">
      <c r="A283" s="4" t="s">
        <v>145</v>
      </c>
      <c r="B283" s="43" t="s">
        <v>136</v>
      </c>
      <c r="C283" s="10"/>
      <c r="D283" s="11"/>
      <c r="E283" s="397"/>
      <c r="F283" s="12"/>
      <c r="G283" s="20"/>
      <c r="H283" s="21"/>
      <c r="I283" s="21"/>
      <c r="J283" s="21"/>
      <c r="K283" s="21"/>
      <c r="L283" s="19"/>
      <c r="M283" s="104"/>
    </row>
    <row r="284" spans="1:13">
      <c r="A284" s="4"/>
      <c r="B284" s="43"/>
      <c r="C284" s="10" t="s">
        <v>15</v>
      </c>
      <c r="D284" s="11">
        <v>14.95</v>
      </c>
      <c r="E284" s="397"/>
      <c r="F284" s="22">
        <f t="shared" ref="F284" si="30">D284*E284</f>
        <v>0</v>
      </c>
      <c r="G284" s="20"/>
      <c r="H284" s="21"/>
      <c r="I284" s="21"/>
      <c r="J284" s="21"/>
      <c r="K284" s="21"/>
      <c r="L284" s="19"/>
      <c r="M284" s="104"/>
    </row>
    <row r="285" spans="1:13">
      <c r="A285" s="4"/>
      <c r="B285" s="43"/>
      <c r="C285" s="10"/>
      <c r="D285" s="11"/>
      <c r="E285" s="397"/>
      <c r="F285" s="22"/>
      <c r="H285" s="21"/>
      <c r="I285" s="21"/>
      <c r="J285" s="21"/>
      <c r="K285" s="21"/>
      <c r="L285" s="19"/>
      <c r="M285" s="18"/>
    </row>
    <row r="286" spans="1:13" ht="38.25">
      <c r="A286" s="4" t="s">
        <v>196</v>
      </c>
      <c r="B286" s="43" t="s">
        <v>133</v>
      </c>
      <c r="C286" s="10"/>
      <c r="D286" s="11"/>
      <c r="E286" s="397"/>
      <c r="F286" s="12"/>
      <c r="G286" s="20"/>
      <c r="H286" s="21"/>
      <c r="J286" s="21"/>
      <c r="K286" s="21"/>
      <c r="L286" s="19"/>
      <c r="M286" s="104"/>
    </row>
    <row r="287" spans="1:13" ht="25.5">
      <c r="A287" s="4"/>
      <c r="B287" s="109" t="s">
        <v>522</v>
      </c>
      <c r="C287" s="10" t="s">
        <v>15</v>
      </c>
      <c r="D287" s="11">
        <f>D288+D289</f>
        <v>53.5</v>
      </c>
      <c r="E287" s="397"/>
      <c r="F287" s="22">
        <f t="shared" ref="F287:F289" si="31">D287*E287</f>
        <v>0</v>
      </c>
      <c r="H287" s="21"/>
      <c r="I287" s="21"/>
      <c r="J287" s="21"/>
      <c r="K287" s="21"/>
      <c r="L287" s="19"/>
      <c r="M287" s="18"/>
    </row>
    <row r="288" spans="1:13" ht="38.25">
      <c r="A288" s="4"/>
      <c r="B288" s="109" t="s">
        <v>523</v>
      </c>
      <c r="C288" s="10" t="s">
        <v>15</v>
      </c>
      <c r="D288" s="11">
        <v>9.1999999999999993</v>
      </c>
      <c r="E288" s="397"/>
      <c r="F288" s="22">
        <f t="shared" si="31"/>
        <v>0</v>
      </c>
      <c r="H288" s="21"/>
      <c r="I288" s="21"/>
      <c r="J288" s="21"/>
      <c r="K288" s="21"/>
      <c r="L288" s="19"/>
      <c r="M288" s="18"/>
    </row>
    <row r="289" spans="1:13" s="29" customFormat="1" ht="25.5">
      <c r="A289" s="4"/>
      <c r="B289" s="109" t="s">
        <v>524</v>
      </c>
      <c r="C289" s="10" t="s">
        <v>15</v>
      </c>
      <c r="D289" s="11">
        <f>9.1*2+7.8*2+5.25*2</f>
        <v>44.3</v>
      </c>
      <c r="E289" s="397"/>
      <c r="F289" s="22">
        <f t="shared" si="31"/>
        <v>0</v>
      </c>
      <c r="G289" s="272"/>
      <c r="L289" s="27"/>
      <c r="M289" s="277"/>
    </row>
    <row r="290" spans="1:13" ht="38.25">
      <c r="A290" s="4"/>
      <c r="B290" s="109" t="s">
        <v>525</v>
      </c>
      <c r="C290" s="10" t="s">
        <v>15</v>
      </c>
      <c r="D290" s="11">
        <v>7</v>
      </c>
      <c r="E290" s="397"/>
      <c r="F290" s="22">
        <f>D290*E290</f>
        <v>0</v>
      </c>
      <c r="H290" s="21"/>
      <c r="I290" s="21"/>
      <c r="J290" s="21"/>
      <c r="K290" s="21"/>
      <c r="L290" s="19"/>
      <c r="M290" s="18"/>
    </row>
    <row r="291" spans="1:13" ht="51">
      <c r="A291" s="4"/>
      <c r="B291" s="109" t="s">
        <v>526</v>
      </c>
      <c r="C291" s="10" t="s">
        <v>15</v>
      </c>
      <c r="D291" s="11">
        <f>2*2</f>
        <v>4</v>
      </c>
      <c r="E291" s="397"/>
      <c r="F291" s="22">
        <f t="shared" ref="F291" si="32">D291*E291</f>
        <v>0</v>
      </c>
      <c r="H291" s="21"/>
      <c r="I291" s="21"/>
      <c r="J291" s="21"/>
      <c r="K291" s="21"/>
      <c r="L291" s="19"/>
      <c r="M291" s="18"/>
    </row>
    <row r="292" spans="1:13" s="29" customFormat="1">
      <c r="A292" s="4"/>
      <c r="B292" s="43"/>
      <c r="C292" s="10"/>
      <c r="D292" s="11"/>
      <c r="E292" s="397"/>
      <c r="F292" s="22"/>
      <c r="G292" s="9"/>
      <c r="L292" s="73"/>
      <c r="M292" s="74"/>
    </row>
    <row r="293" spans="1:13">
      <c r="A293" s="4"/>
      <c r="B293" s="43" t="s">
        <v>138</v>
      </c>
      <c r="C293" s="10"/>
      <c r="D293" s="11"/>
      <c r="E293" s="397"/>
      <c r="F293" s="22"/>
      <c r="G293" s="77"/>
      <c r="H293" s="21"/>
      <c r="I293" s="21"/>
      <c r="J293" s="21"/>
      <c r="K293" s="21"/>
      <c r="L293" s="76"/>
      <c r="M293" s="77"/>
    </row>
    <row r="294" spans="1:13" s="17" customFormat="1" ht="63.75">
      <c r="A294" s="4" t="s">
        <v>197</v>
      </c>
      <c r="B294" s="43" t="s">
        <v>658</v>
      </c>
      <c r="C294" s="10" t="s">
        <v>188</v>
      </c>
      <c r="D294" s="11">
        <f>3.65*3.075</f>
        <v>11.223750000000001</v>
      </c>
      <c r="E294" s="397"/>
      <c r="F294" s="22">
        <f t="shared" ref="F294:F295" si="33">D294*E294</f>
        <v>0</v>
      </c>
      <c r="G294" s="270"/>
      <c r="H294" s="44"/>
      <c r="I294" s="19"/>
      <c r="L294" s="44"/>
      <c r="M294" s="104"/>
    </row>
    <row r="295" spans="1:13" s="17" customFormat="1" ht="102">
      <c r="A295" s="4" t="s">
        <v>198</v>
      </c>
      <c r="B295" s="43" t="s">
        <v>659</v>
      </c>
      <c r="C295" s="10" t="s">
        <v>188</v>
      </c>
      <c r="D295" s="11">
        <f>12.06+4.51*3.2</f>
        <v>26.492000000000001</v>
      </c>
      <c r="E295" s="397"/>
      <c r="F295" s="22">
        <f t="shared" si="33"/>
        <v>0</v>
      </c>
      <c r="G295" s="20"/>
      <c r="I295" s="19"/>
      <c r="L295" s="44"/>
      <c r="M295" s="104"/>
    </row>
    <row r="296" spans="1:13" s="17" customFormat="1">
      <c r="A296" s="4"/>
      <c r="B296" s="43"/>
      <c r="C296" s="10"/>
      <c r="D296" s="11"/>
      <c r="E296" s="397"/>
      <c r="F296" s="22"/>
      <c r="G296" s="54"/>
      <c r="L296" s="44"/>
      <c r="M296" s="54"/>
    </row>
    <row r="297" spans="1:13" s="29" customFormat="1">
      <c r="A297" s="16"/>
      <c r="B297" s="21"/>
      <c r="C297" s="15"/>
      <c r="D297" s="18"/>
      <c r="E297" s="394"/>
      <c r="F297" s="18"/>
      <c r="G297" s="28"/>
      <c r="L297" s="27"/>
      <c r="M297" s="28"/>
    </row>
    <row r="298" spans="1:13">
      <c r="A298" s="23"/>
      <c r="B298" s="82" t="s">
        <v>27</v>
      </c>
      <c r="C298" s="25"/>
      <c r="D298" s="26"/>
      <c r="E298" s="401"/>
      <c r="F298" s="28">
        <f>SUM(F265:F297)</f>
        <v>0</v>
      </c>
      <c r="H298" s="21"/>
      <c r="I298" s="21"/>
      <c r="J298" s="21"/>
      <c r="K298" s="21"/>
      <c r="L298" s="19"/>
      <c r="M298" s="18"/>
    </row>
    <row r="300" spans="1:13" s="29" customFormat="1">
      <c r="A300" s="16"/>
      <c r="B300" s="21"/>
      <c r="C300" s="15"/>
      <c r="D300" s="18"/>
      <c r="E300" s="394"/>
      <c r="F300" s="18"/>
      <c r="G300" s="9"/>
      <c r="H300" s="9"/>
      <c r="I300" s="8"/>
      <c r="J300" s="9"/>
      <c r="K300" s="9"/>
    </row>
    <row r="301" spans="1:13">
      <c r="A301" s="71" t="s">
        <v>469</v>
      </c>
      <c r="B301" s="83" t="s">
        <v>88</v>
      </c>
      <c r="C301" s="7" t="s">
        <v>45</v>
      </c>
      <c r="D301" s="8" t="s">
        <v>46</v>
      </c>
      <c r="E301" s="399"/>
      <c r="F301" s="9" t="s">
        <v>48</v>
      </c>
      <c r="G301" s="22"/>
      <c r="H301" s="280"/>
      <c r="J301" s="22"/>
      <c r="K301" s="22"/>
    </row>
    <row r="302" spans="1:13" ht="229.5">
      <c r="B302" s="17" t="s">
        <v>649</v>
      </c>
      <c r="D302" s="19"/>
      <c r="F302" s="20"/>
      <c r="G302" s="22"/>
      <c r="H302" s="22"/>
      <c r="J302" s="22"/>
      <c r="K302" s="22"/>
    </row>
    <row r="303" spans="1:13">
      <c r="B303" s="17"/>
      <c r="G303" s="22"/>
      <c r="H303" s="22"/>
      <c r="J303" s="22"/>
      <c r="K303" s="22"/>
    </row>
    <row r="304" spans="1:13" ht="51">
      <c r="A304" s="16" t="s">
        <v>87</v>
      </c>
      <c r="B304" s="17" t="s">
        <v>527</v>
      </c>
      <c r="C304" s="40" t="s">
        <v>6</v>
      </c>
      <c r="D304" s="19">
        <v>222</v>
      </c>
      <c r="F304" s="20">
        <f>D304*E304</f>
        <v>0</v>
      </c>
      <c r="G304" s="22"/>
      <c r="H304" s="22"/>
      <c r="J304" s="22"/>
      <c r="K304" s="22"/>
    </row>
    <row r="305" spans="1:11">
      <c r="B305" s="17"/>
      <c r="G305" s="22"/>
      <c r="H305" s="22"/>
      <c r="J305" s="22"/>
      <c r="K305" s="22"/>
    </row>
    <row r="306" spans="1:11" s="17" customFormat="1" ht="25.5">
      <c r="A306" s="16" t="s">
        <v>139</v>
      </c>
      <c r="B306" s="17" t="s">
        <v>528</v>
      </c>
      <c r="C306" s="15" t="s">
        <v>15</v>
      </c>
      <c r="D306" s="19">
        <f>245.46-(11*0.8+1.5)</f>
        <v>235.16</v>
      </c>
      <c r="E306" s="394"/>
      <c r="F306" s="20">
        <f>D306*E306</f>
        <v>0</v>
      </c>
      <c r="G306" s="22"/>
      <c r="H306" s="22"/>
      <c r="I306" s="44"/>
      <c r="J306" s="110"/>
      <c r="K306" s="110"/>
    </row>
    <row r="307" spans="1:11" s="17" customFormat="1">
      <c r="A307" s="16"/>
      <c r="B307" s="21"/>
      <c r="C307" s="15"/>
      <c r="D307" s="18"/>
      <c r="E307" s="394"/>
      <c r="F307" s="18"/>
      <c r="G307" s="22"/>
      <c r="H307" s="22"/>
      <c r="I307" s="19"/>
      <c r="J307" s="110"/>
      <c r="K307" s="110"/>
    </row>
    <row r="308" spans="1:11" ht="76.5">
      <c r="A308" s="16" t="s">
        <v>634</v>
      </c>
      <c r="B308" s="17" t="s">
        <v>661</v>
      </c>
      <c r="C308" s="40"/>
      <c r="D308" s="19"/>
      <c r="F308" s="20"/>
    </row>
    <row r="309" spans="1:11" s="29" customFormat="1">
      <c r="A309" s="16"/>
      <c r="B309" s="89" t="s">
        <v>636</v>
      </c>
      <c r="C309" s="40" t="s">
        <v>6</v>
      </c>
      <c r="D309" s="19">
        <v>4.8</v>
      </c>
      <c r="E309" s="394"/>
      <c r="F309" s="20">
        <f>D309*E309</f>
        <v>0</v>
      </c>
      <c r="G309" s="28"/>
      <c r="H309" s="28"/>
      <c r="I309" s="27"/>
      <c r="J309" s="28"/>
      <c r="K309" s="28"/>
    </row>
    <row r="310" spans="1:11" ht="25.5">
      <c r="B310" s="89" t="s">
        <v>637</v>
      </c>
      <c r="C310" s="40" t="s">
        <v>6</v>
      </c>
      <c r="D310" s="19">
        <v>14.9</v>
      </c>
      <c r="F310" s="20">
        <f>D310*E310</f>
        <v>0</v>
      </c>
    </row>
    <row r="311" spans="1:11">
      <c r="B311" s="89"/>
      <c r="C311" s="40"/>
      <c r="D311" s="19"/>
      <c r="F311" s="20"/>
    </row>
    <row r="312" spans="1:11" ht="51">
      <c r="A312" s="16" t="s">
        <v>186</v>
      </c>
      <c r="B312" s="17" t="s">
        <v>662</v>
      </c>
      <c r="C312" s="40"/>
      <c r="D312" s="19"/>
      <c r="F312" s="20"/>
    </row>
    <row r="313" spans="1:11" s="29" customFormat="1">
      <c r="A313" s="16"/>
      <c r="B313" s="89" t="s">
        <v>638</v>
      </c>
      <c r="C313" s="40"/>
      <c r="D313" s="19"/>
      <c r="E313" s="394"/>
      <c r="F313" s="20"/>
      <c r="G313" s="28"/>
      <c r="H313" s="28"/>
      <c r="I313" s="27"/>
      <c r="J313" s="28"/>
      <c r="K313" s="28"/>
    </row>
    <row r="314" spans="1:11" s="29" customFormat="1">
      <c r="A314" s="16"/>
      <c r="B314" s="89" t="s">
        <v>651</v>
      </c>
      <c r="C314" s="40" t="s">
        <v>115</v>
      </c>
      <c r="D314" s="19">
        <v>5</v>
      </c>
      <c r="E314" s="394"/>
      <c r="F314" s="20">
        <f>D314*E314</f>
        <v>0</v>
      </c>
      <c r="G314" s="28"/>
      <c r="H314" s="28"/>
      <c r="I314" s="27"/>
      <c r="J314" s="28"/>
      <c r="K314" s="28"/>
    </row>
    <row r="315" spans="1:11" s="29" customFormat="1">
      <c r="A315" s="16"/>
      <c r="B315" s="89" t="s">
        <v>652</v>
      </c>
      <c r="C315" s="40" t="s">
        <v>115</v>
      </c>
      <c r="D315" s="19">
        <v>6</v>
      </c>
      <c r="E315" s="394"/>
      <c r="F315" s="20">
        <f>D315*E315</f>
        <v>0</v>
      </c>
      <c r="G315" s="28"/>
      <c r="H315" s="28"/>
      <c r="I315" s="27"/>
      <c r="J315" s="28"/>
      <c r="K315" s="28"/>
    </row>
    <row r="316" spans="1:11">
      <c r="B316" s="89" t="s">
        <v>639</v>
      </c>
      <c r="C316" s="40"/>
      <c r="D316" s="19"/>
      <c r="F316" s="20"/>
    </row>
    <row r="317" spans="1:11">
      <c r="B317" s="89" t="s">
        <v>653</v>
      </c>
      <c r="C317" s="40" t="s">
        <v>115</v>
      </c>
      <c r="D317" s="19">
        <v>5</v>
      </c>
      <c r="F317" s="20">
        <f>D317*E317</f>
        <v>0</v>
      </c>
    </row>
    <row r="318" spans="1:11">
      <c r="B318" s="89" t="s">
        <v>654</v>
      </c>
      <c r="C318" s="40" t="s">
        <v>115</v>
      </c>
      <c r="D318" s="19">
        <v>6</v>
      </c>
      <c r="F318" s="20">
        <f>D318*E318</f>
        <v>0</v>
      </c>
    </row>
    <row r="319" spans="1:11">
      <c r="B319" s="89"/>
      <c r="C319" s="40"/>
      <c r="D319" s="19"/>
      <c r="F319" s="20"/>
    </row>
    <row r="320" spans="1:11">
      <c r="B320" s="17"/>
    </row>
    <row r="321" spans="1:11" ht="51">
      <c r="A321" s="16" t="s">
        <v>635</v>
      </c>
      <c r="B321" s="17" t="s">
        <v>529</v>
      </c>
      <c r="C321" s="40" t="s">
        <v>6</v>
      </c>
      <c r="D321" s="19">
        <f>170-83.9-18.6</f>
        <v>67.5</v>
      </c>
      <c r="F321" s="20">
        <f>D321*E321</f>
        <v>0</v>
      </c>
    </row>
    <row r="322" spans="1:11">
      <c r="G322" s="282"/>
      <c r="H322" s="282"/>
      <c r="J322" s="282"/>
      <c r="K322" s="282"/>
    </row>
    <row r="323" spans="1:11">
      <c r="G323" s="282"/>
      <c r="H323" s="282"/>
      <c r="J323" s="282"/>
      <c r="K323" s="282"/>
    </row>
    <row r="324" spans="1:11" ht="25.5">
      <c r="A324" s="23"/>
      <c r="B324" s="86" t="s">
        <v>90</v>
      </c>
      <c r="C324" s="25"/>
      <c r="D324" s="26"/>
      <c r="E324" s="401"/>
      <c r="F324" s="272">
        <f>SUM(F302:F323)</f>
        <v>0</v>
      </c>
      <c r="G324" s="282"/>
      <c r="H324" s="282"/>
      <c r="J324" s="282"/>
      <c r="K324" s="282"/>
    </row>
    <row r="325" spans="1:11">
      <c r="G325" s="282"/>
      <c r="H325" s="282"/>
      <c r="J325" s="282"/>
      <c r="K325" s="282"/>
    </row>
    <row r="326" spans="1:11">
      <c r="G326" s="282"/>
      <c r="H326" s="282"/>
      <c r="J326" s="282"/>
      <c r="K326" s="282"/>
    </row>
    <row r="327" spans="1:11">
      <c r="A327" s="71" t="s">
        <v>112</v>
      </c>
      <c r="B327" s="83" t="s">
        <v>91</v>
      </c>
      <c r="C327" s="7" t="s">
        <v>45</v>
      </c>
      <c r="D327" s="8" t="s">
        <v>46</v>
      </c>
      <c r="E327" s="399"/>
      <c r="F327" s="9" t="s">
        <v>48</v>
      </c>
      <c r="G327" s="282"/>
      <c r="H327" s="282"/>
      <c r="J327" s="282"/>
      <c r="K327" s="282"/>
    </row>
    <row r="328" spans="1:11" ht="140.25">
      <c r="A328" s="78"/>
      <c r="B328" s="17" t="s">
        <v>142</v>
      </c>
      <c r="C328" s="60"/>
      <c r="D328" s="76"/>
      <c r="E328" s="405"/>
      <c r="F328" s="77"/>
      <c r="G328" s="282"/>
      <c r="H328" s="282"/>
      <c r="J328" s="282"/>
      <c r="K328" s="282"/>
    </row>
    <row r="329" spans="1:11" ht="38.25">
      <c r="A329" s="39" t="s">
        <v>89</v>
      </c>
      <c r="B329" s="17" t="s">
        <v>140</v>
      </c>
      <c r="C329" s="40" t="s">
        <v>6</v>
      </c>
      <c r="D329" s="44">
        <f>245.5*2.75-((1.5*2.2-1)+(1*2.2-1)+(1.2*1.3-1)+(2.1*1.3-1)*13+((11.48*2.75-1)+(5.47*2.75-1)+(2.3*2.75-1)+(2.84*2.75-1)+(3.05*2.75-1)+(2.67*2.75-1)*2)*2)</f>
        <v>494.93499999999995</v>
      </c>
      <c r="E329" s="406"/>
      <c r="F329" s="20">
        <f>D329*E329</f>
        <v>0</v>
      </c>
      <c r="G329" s="282"/>
      <c r="H329" s="282"/>
      <c r="J329" s="282"/>
      <c r="K329" s="282"/>
    </row>
    <row r="330" spans="1:11" ht="38.25">
      <c r="A330" s="39" t="s">
        <v>147</v>
      </c>
      <c r="B330" s="17" t="s">
        <v>141</v>
      </c>
      <c r="C330" s="40" t="s">
        <v>6</v>
      </c>
      <c r="D330" s="44">
        <v>219.3</v>
      </c>
      <c r="E330" s="406"/>
      <c r="F330" s="20">
        <f>D330*E330</f>
        <v>0</v>
      </c>
      <c r="G330" s="282"/>
      <c r="H330" s="282"/>
      <c r="J330" s="282"/>
      <c r="K330" s="282"/>
    </row>
    <row r="331" spans="1:11">
      <c r="A331" s="39"/>
      <c r="B331" s="17"/>
      <c r="C331" s="40"/>
      <c r="D331" s="54"/>
      <c r="E331" s="406"/>
      <c r="F331" s="54"/>
      <c r="G331" s="282"/>
      <c r="H331" s="282"/>
      <c r="J331" s="282"/>
      <c r="K331" s="282"/>
    </row>
    <row r="332" spans="1:11">
      <c r="A332" s="23"/>
      <c r="B332" s="82" t="s">
        <v>93</v>
      </c>
      <c r="C332" s="25"/>
      <c r="D332" s="26"/>
      <c r="E332" s="401"/>
      <c r="F332" s="28">
        <f>SUM(F329:F331)</f>
        <v>0</v>
      </c>
      <c r="G332" s="282"/>
      <c r="H332" s="282"/>
      <c r="J332" s="282"/>
      <c r="K332" s="282"/>
    </row>
    <row r="333" spans="1:11">
      <c r="G333" s="282"/>
      <c r="H333" s="282"/>
      <c r="J333" s="282"/>
      <c r="K333" s="282"/>
    </row>
    <row r="334" spans="1:11">
      <c r="G334" s="282"/>
      <c r="H334" s="282"/>
      <c r="J334" s="282"/>
      <c r="K334" s="282"/>
    </row>
    <row r="335" spans="1:11">
      <c r="A335" s="5" t="s">
        <v>113</v>
      </c>
      <c r="B335" s="38" t="s">
        <v>16</v>
      </c>
      <c r="C335" s="7" t="s">
        <v>45</v>
      </c>
      <c r="D335" s="8" t="s">
        <v>46</v>
      </c>
      <c r="E335" s="399"/>
      <c r="F335" s="9" t="s">
        <v>48</v>
      </c>
      <c r="G335" s="282"/>
      <c r="H335" s="282"/>
      <c r="J335" s="282"/>
      <c r="K335" s="282"/>
    </row>
    <row r="336" spans="1:11" ht="76.5">
      <c r="A336" s="16" t="s">
        <v>92</v>
      </c>
      <c r="B336" s="17" t="s">
        <v>530</v>
      </c>
      <c r="C336" s="40" t="s">
        <v>15</v>
      </c>
      <c r="D336" s="44">
        <f>2.1*13+1.2</f>
        <v>28.5</v>
      </c>
      <c r="F336" s="22">
        <f t="shared" ref="F336" si="34">D336*E336</f>
        <v>0</v>
      </c>
      <c r="G336" s="282"/>
      <c r="H336" s="282"/>
      <c r="J336" s="282"/>
      <c r="K336" s="282"/>
    </row>
    <row r="337" spans="1:11" ht="38.25">
      <c r="A337" s="39" t="s">
        <v>114</v>
      </c>
      <c r="B337" s="17" t="s">
        <v>143</v>
      </c>
      <c r="C337" s="40" t="s">
        <v>115</v>
      </c>
      <c r="D337" s="54">
        <v>3</v>
      </c>
      <c r="E337" s="406"/>
      <c r="F337" s="22">
        <f t="shared" ref="F337:F341" si="35">D337*E337</f>
        <v>0</v>
      </c>
    </row>
    <row r="338" spans="1:11" s="15" customFormat="1" ht="38.25">
      <c r="A338" s="39" t="s">
        <v>148</v>
      </c>
      <c r="B338" s="17" t="s">
        <v>615</v>
      </c>
      <c r="C338" s="40" t="s">
        <v>115</v>
      </c>
      <c r="D338" s="54">
        <v>12</v>
      </c>
      <c r="E338" s="406"/>
      <c r="F338" s="22">
        <f t="shared" si="35"/>
        <v>0</v>
      </c>
      <c r="G338" s="282"/>
      <c r="H338" s="282"/>
      <c r="I338" s="19"/>
      <c r="J338" s="282"/>
      <c r="K338" s="282"/>
    </row>
    <row r="339" spans="1:11" ht="127.5">
      <c r="A339" s="39" t="s">
        <v>531</v>
      </c>
      <c r="B339" s="17" t="s">
        <v>666</v>
      </c>
      <c r="C339" s="40" t="s">
        <v>15</v>
      </c>
      <c r="D339" s="54">
        <f>3*12</f>
        <v>36</v>
      </c>
      <c r="E339" s="406"/>
      <c r="F339" s="22">
        <f t="shared" si="35"/>
        <v>0</v>
      </c>
      <c r="G339" s="386"/>
    </row>
    <row r="340" spans="1:11" ht="63.75">
      <c r="A340" s="39" t="s">
        <v>532</v>
      </c>
      <c r="B340" s="17" t="s">
        <v>533</v>
      </c>
      <c r="C340" s="40" t="s">
        <v>15</v>
      </c>
      <c r="D340" s="54">
        <f>15+6.3+12.2+1</f>
        <v>34.5</v>
      </c>
      <c r="E340" s="406"/>
      <c r="F340" s="22">
        <f t="shared" si="35"/>
        <v>0</v>
      </c>
    </row>
    <row r="341" spans="1:11" ht="63.75">
      <c r="A341" s="39" t="s">
        <v>534</v>
      </c>
      <c r="B341" s="17" t="s">
        <v>591</v>
      </c>
      <c r="C341" s="40" t="s">
        <v>6</v>
      </c>
      <c r="D341" s="54">
        <v>219.3</v>
      </c>
      <c r="E341" s="406"/>
      <c r="F341" s="22">
        <f t="shared" si="35"/>
        <v>0</v>
      </c>
    </row>
    <row r="342" spans="1:11" ht="51">
      <c r="A342" s="39" t="s">
        <v>640</v>
      </c>
      <c r="B342" s="17" t="s">
        <v>663</v>
      </c>
      <c r="C342" s="40" t="s">
        <v>115</v>
      </c>
      <c r="D342" s="54">
        <v>2</v>
      </c>
      <c r="E342" s="406"/>
      <c r="F342" s="22">
        <f t="shared" ref="F342" si="36">D342*E342</f>
        <v>0</v>
      </c>
    </row>
    <row r="343" spans="1:11">
      <c r="A343" s="39"/>
      <c r="B343" s="17"/>
      <c r="C343" s="40"/>
      <c r="D343" s="54"/>
      <c r="E343" s="406"/>
      <c r="F343" s="22"/>
    </row>
    <row r="345" spans="1:11">
      <c r="A345" s="23"/>
      <c r="B345" s="24" t="s">
        <v>17</v>
      </c>
      <c r="C345" s="25"/>
      <c r="D345" s="26"/>
      <c r="E345" s="401"/>
      <c r="F345" s="28">
        <f>SUM(F336:F344)</f>
        <v>0</v>
      </c>
    </row>
    <row r="347" spans="1:11">
      <c r="A347" s="4"/>
      <c r="B347" s="2" t="s">
        <v>18</v>
      </c>
    </row>
    <row r="348" spans="1:11">
      <c r="A348" s="4"/>
      <c r="B348" s="47"/>
    </row>
    <row r="349" spans="1:11">
      <c r="A349" s="4"/>
      <c r="B349" s="47"/>
    </row>
    <row r="350" spans="1:11">
      <c r="A350" s="281" t="str">
        <f>A42</f>
        <v>1</v>
      </c>
      <c r="B350" s="42" t="str">
        <f>B42</f>
        <v>ПРИПРЕМНИ РАБОТИ</v>
      </c>
      <c r="F350" s="282">
        <f>F65</f>
        <v>0</v>
      </c>
    </row>
    <row r="351" spans="1:11">
      <c r="A351" s="281" t="str">
        <f>A67</f>
        <v>2</v>
      </c>
      <c r="B351" s="42" t="str">
        <f>B67</f>
        <v>ЗЕМЈЕНИ РАБОТИ</v>
      </c>
      <c r="F351" s="282">
        <f>F94</f>
        <v>0</v>
      </c>
    </row>
    <row r="352" spans="1:11">
      <c r="A352" s="281" t="str">
        <f>A96</f>
        <v>3</v>
      </c>
      <c r="B352" s="42" t="str">
        <f>B96</f>
        <v>БЕТОНСКИ И АРМИРАНО - БЕТОНСКИ РАБОТИ</v>
      </c>
      <c r="F352" s="282">
        <f>F138</f>
        <v>0</v>
      </c>
    </row>
    <row r="353" spans="1:6">
      <c r="A353" s="281" t="str">
        <f>A140</f>
        <v>4</v>
      </c>
      <c r="B353" s="42" t="str">
        <f>B140</f>
        <v>АРМИРАЧКИ РАБОТИ</v>
      </c>
      <c r="F353" s="282">
        <f>F147</f>
        <v>0</v>
      </c>
    </row>
    <row r="354" spans="1:6" ht="25.5">
      <c r="A354" s="281" t="str">
        <f>A150</f>
        <v>5</v>
      </c>
      <c r="B354" s="42" t="str">
        <f>B150</f>
        <v>БРАВАРСКИ РАБОТИ / ЧЕЛИЧНА КОНСТРУКЦИЈА</v>
      </c>
      <c r="F354" s="282">
        <f>F160</f>
        <v>0</v>
      </c>
    </row>
    <row r="355" spans="1:6">
      <c r="A355" s="281" t="str">
        <f>A162</f>
        <v>6</v>
      </c>
      <c r="B355" s="42" t="str">
        <f>B162</f>
        <v>ИЗОЛАТЕРСКИ РАБОТИ</v>
      </c>
      <c r="F355" s="282">
        <f>F181</f>
        <v>0</v>
      </c>
    </row>
    <row r="356" spans="1:6" ht="25.5">
      <c r="A356" s="281" t="str">
        <f>A183</f>
        <v>7</v>
      </c>
      <c r="B356" s="42" t="str">
        <f>B183</f>
        <v>ПОЗИЦИИ ОД ТЕРМОИЗОЛИРАНИ ПАНЕЛИ 
КРОВНА / ФАСАДНА ОБЛОГА</v>
      </c>
      <c r="F356" s="282">
        <f>F191</f>
        <v>0</v>
      </c>
    </row>
    <row r="357" spans="1:6">
      <c r="A357" s="281" t="str">
        <f>A193</f>
        <v>8</v>
      </c>
      <c r="B357" s="42" t="str">
        <f>B193</f>
        <v>ФАСАДЕРСКИ РАБОТИ</v>
      </c>
      <c r="F357" s="282">
        <f>F199</f>
        <v>0</v>
      </c>
    </row>
    <row r="358" spans="1:6" ht="25.5">
      <c r="A358" s="281" t="str">
        <f>A201</f>
        <v>9</v>
      </c>
      <c r="B358" s="42" t="str">
        <f>B201</f>
        <v>МОНТАЖНИ ЅИДОВИ, ОБЛОГИ, ПЛАФОНИ И ПОДОВИ</v>
      </c>
      <c r="F358" s="282">
        <f>F211</f>
        <v>0</v>
      </c>
    </row>
    <row r="359" spans="1:6">
      <c r="A359" s="281" t="str">
        <f>A213</f>
        <v>10</v>
      </c>
      <c r="B359" s="42" t="str">
        <f>B213</f>
        <v>БРАВАРСКИ/СТОЛАРСКИ РАБОТИ</v>
      </c>
      <c r="F359" s="282">
        <f>F236</f>
        <v>0</v>
      </c>
    </row>
    <row r="360" spans="1:6">
      <c r="A360" s="281" t="str">
        <f>A239</f>
        <v>11</v>
      </c>
      <c r="B360" s="42" t="str">
        <f>B239</f>
        <v>ОСТАНАТИ БРАВАРСКИ РАБОТИ</v>
      </c>
      <c r="F360" s="282">
        <f>F261</f>
        <v>0</v>
      </c>
    </row>
    <row r="361" spans="1:6">
      <c r="A361" s="281" t="str">
        <f>A263</f>
        <v>12</v>
      </c>
      <c r="B361" s="42" t="str">
        <f>B263</f>
        <v>ЛИМАРСКИ РАБОТИ</v>
      </c>
      <c r="F361" s="282">
        <f>F298</f>
        <v>0</v>
      </c>
    </row>
    <row r="362" spans="1:6">
      <c r="A362" s="281" t="str">
        <f>A301</f>
        <v>13</v>
      </c>
      <c r="B362" s="42" t="str">
        <f>B301</f>
        <v>ПОДОПОЛАГАЧКИ И КЕРАМИЧАРСКИ РАБОТИ</v>
      </c>
      <c r="F362" s="282">
        <f>F324</f>
        <v>0</v>
      </c>
    </row>
    <row r="363" spans="1:6">
      <c r="A363" s="281" t="str">
        <f>A327</f>
        <v>14</v>
      </c>
      <c r="B363" s="42" t="str">
        <f>B327</f>
        <v>МОЛЕРО-ФАРБАРСКИ РАБОТИ</v>
      </c>
      <c r="F363" s="282">
        <f>F332</f>
        <v>0</v>
      </c>
    </row>
    <row r="364" spans="1:6">
      <c r="A364" s="281" t="str">
        <f>A335</f>
        <v>15</v>
      </c>
      <c r="B364" s="42" t="str">
        <f>B335</f>
        <v>РАЗНИ РАБОТИ</v>
      </c>
      <c r="F364" s="282">
        <f>F345</f>
        <v>0</v>
      </c>
    </row>
    <row r="365" spans="1:6">
      <c r="A365" s="1"/>
      <c r="B365" s="283"/>
    </row>
    <row r="366" spans="1:6">
      <c r="A366" s="4"/>
      <c r="B366" s="2" t="s">
        <v>667</v>
      </c>
      <c r="F366" s="282">
        <f>SUM(F350:F365)</f>
        <v>0</v>
      </c>
    </row>
  </sheetData>
  <mergeCells count="16">
    <mergeCell ref="B36:F36"/>
    <mergeCell ref="B38:F38"/>
    <mergeCell ref="B20:F20"/>
    <mergeCell ref="B22:F22"/>
    <mergeCell ref="B24:F24"/>
    <mergeCell ref="B26:F26"/>
    <mergeCell ref="B28:F28"/>
    <mergeCell ref="B30:F30"/>
    <mergeCell ref="G34:K34"/>
    <mergeCell ref="B10:F10"/>
    <mergeCell ref="B12:F12"/>
    <mergeCell ref="B14:F14"/>
    <mergeCell ref="B16:F16"/>
    <mergeCell ref="B18:F18"/>
    <mergeCell ref="B32:F32"/>
    <mergeCell ref="B34:F34"/>
  </mergeCells>
  <printOptions gridLines="1"/>
  <pageMargins left="0.5" right="0.5" top="0.75" bottom="0.5" header="0.3" footer="0.3"/>
  <pageSetup paperSize="9" scale="89" fitToHeight="0" orientation="portrait" r:id="rId1"/>
  <headerFooter>
    <oddFooter>&amp;R&amp;P/&amp;N</oddFooter>
  </headerFooter>
  <rowBreaks count="14" manualBreakCount="14">
    <brk id="41" max="5" man="1"/>
    <brk id="72" max="16383" man="1"/>
    <brk id="98" max="16383" man="1"/>
    <brk id="110" max="5" man="1"/>
    <brk id="139" max="5" man="1"/>
    <brk id="171" max="16383" man="1"/>
    <brk id="187" max="16383" man="1"/>
    <brk id="206" max="16383" man="1"/>
    <brk id="214" max="16383" man="1"/>
    <brk id="238" max="5" man="1"/>
    <brk id="265" max="16383" man="1"/>
    <brk id="292" max="5" man="1"/>
    <brk id="319" max="16383" man="1"/>
    <brk id="3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view="pageBreakPreview" topLeftCell="A14" zoomScale="85" zoomScaleNormal="90" zoomScaleSheetLayoutView="85" workbookViewId="0">
      <selection activeCell="I36" sqref="I36"/>
    </sheetView>
  </sheetViews>
  <sheetFormatPr defaultRowHeight="15"/>
  <cols>
    <col min="2" max="2" width="45.28515625" customWidth="1"/>
    <col min="5" max="5" width="12.7109375" customWidth="1"/>
    <col min="6" max="6" width="18" customWidth="1"/>
  </cols>
  <sheetData>
    <row r="1" spans="1:11" s="21" customFormat="1" ht="63.75">
      <c r="A1" s="16"/>
      <c r="B1" s="17" t="s">
        <v>41</v>
      </c>
      <c r="C1" s="15"/>
      <c r="D1" s="18"/>
      <c r="E1" s="19"/>
      <c r="F1" s="18"/>
      <c r="G1" s="18"/>
      <c r="H1" s="18"/>
      <c r="I1" s="19"/>
      <c r="J1" s="18"/>
      <c r="K1" s="18"/>
    </row>
    <row r="2" spans="1:11" s="21" customFormat="1" ht="12.75">
      <c r="A2" s="16"/>
      <c r="B2" s="17"/>
      <c r="C2" s="15"/>
      <c r="D2" s="18"/>
      <c r="E2" s="19"/>
      <c r="F2" s="18"/>
      <c r="G2" s="18"/>
      <c r="H2" s="18"/>
      <c r="I2" s="19"/>
      <c r="J2" s="18"/>
      <c r="K2" s="18"/>
    </row>
    <row r="3" spans="1:11" s="21" customFormat="1" ht="102">
      <c r="A3" s="3"/>
      <c r="B3" s="2" t="s">
        <v>476</v>
      </c>
      <c r="C3" s="48"/>
      <c r="D3" s="34"/>
      <c r="E3" s="46"/>
      <c r="F3" s="49"/>
      <c r="G3" s="49"/>
      <c r="H3" s="49"/>
      <c r="I3" s="46"/>
      <c r="J3" s="49"/>
      <c r="K3" s="49"/>
    </row>
    <row r="4" spans="1:11" s="21" customFormat="1" ht="12.75">
      <c r="A4" s="4"/>
      <c r="B4" s="2"/>
      <c r="C4" s="48"/>
      <c r="D4" s="34"/>
      <c r="E4" s="46"/>
      <c r="F4" s="49"/>
      <c r="G4" s="49"/>
      <c r="H4" s="49"/>
      <c r="I4" s="46"/>
      <c r="J4" s="49"/>
      <c r="K4" s="49"/>
    </row>
    <row r="5" spans="1:11" s="21" customFormat="1" ht="12.75">
      <c r="A5" s="1"/>
      <c r="B5" s="2" t="s">
        <v>0</v>
      </c>
      <c r="C5" s="13"/>
      <c r="D5" s="34"/>
      <c r="E5" s="46"/>
      <c r="F5" s="49"/>
      <c r="G5" s="49"/>
      <c r="H5" s="49"/>
      <c r="I5" s="46"/>
      <c r="J5" s="49"/>
      <c r="K5" s="49"/>
    </row>
    <row r="6" spans="1:11" s="21" customFormat="1" ht="12.75">
      <c r="A6" s="3"/>
      <c r="B6" s="2" t="s">
        <v>593</v>
      </c>
      <c r="C6" s="13"/>
      <c r="D6" s="49"/>
      <c r="E6" s="46"/>
      <c r="F6" s="49"/>
      <c r="G6" s="49"/>
      <c r="H6" s="49"/>
      <c r="I6" s="46"/>
      <c r="J6" s="49"/>
      <c r="K6" s="49"/>
    </row>
    <row r="7" spans="1:11" s="21" customFormat="1" ht="12.75">
      <c r="A7" s="4"/>
      <c r="B7" s="2"/>
      <c r="C7" s="48"/>
      <c r="D7" s="34"/>
      <c r="E7" s="46"/>
      <c r="F7" s="49"/>
      <c r="G7" s="49"/>
      <c r="H7" s="49"/>
      <c r="I7" s="46"/>
      <c r="J7" s="49"/>
      <c r="K7" s="49"/>
    </row>
    <row r="8" spans="1:11" ht="15.75" thickBot="1">
      <c r="A8" s="284"/>
      <c r="B8" s="285" t="s">
        <v>199</v>
      </c>
      <c r="C8" s="284"/>
      <c r="D8" s="284"/>
      <c r="E8" s="284"/>
      <c r="F8" s="284"/>
    </row>
    <row r="9" spans="1:11" ht="15.75" thickBot="1">
      <c r="A9" s="286"/>
      <c r="B9" s="418"/>
      <c r="C9" s="419"/>
      <c r="D9" s="419"/>
      <c r="E9" s="419"/>
      <c r="F9" s="420"/>
    </row>
    <row r="10" spans="1:11" ht="15.75" thickBot="1">
      <c r="A10" s="287"/>
      <c r="B10" s="288" t="s">
        <v>200</v>
      </c>
      <c r="C10" s="289"/>
      <c r="D10" s="290"/>
      <c r="E10" s="291"/>
      <c r="F10" s="292"/>
    </row>
    <row r="11" spans="1:11" ht="15.75" thickBot="1">
      <c r="A11" s="293" t="s">
        <v>201</v>
      </c>
      <c r="B11" s="294" t="s">
        <v>202</v>
      </c>
      <c r="C11" s="295" t="s">
        <v>45</v>
      </c>
      <c r="D11" s="296" t="s">
        <v>203</v>
      </c>
      <c r="E11" s="297" t="s">
        <v>204</v>
      </c>
      <c r="F11" s="298" t="s">
        <v>205</v>
      </c>
    </row>
    <row r="12" spans="1:11" ht="104.25" customHeight="1" thickBot="1">
      <c r="A12" s="299">
        <v>1</v>
      </c>
      <c r="B12" s="300" t="s">
        <v>206</v>
      </c>
      <c r="C12" s="301" t="s">
        <v>207</v>
      </c>
      <c r="D12" s="302">
        <v>11</v>
      </c>
      <c r="E12" s="303"/>
      <c r="F12" s="304">
        <f>D12*E12</f>
        <v>0</v>
      </c>
    </row>
    <row r="13" spans="1:11" ht="89.25" customHeight="1" thickBot="1">
      <c r="A13" s="305">
        <v>2</v>
      </c>
      <c r="B13" s="306" t="s">
        <v>208</v>
      </c>
      <c r="C13" s="307" t="s">
        <v>207</v>
      </c>
      <c r="D13" s="308">
        <v>1</v>
      </c>
      <c r="E13" s="309"/>
      <c r="F13" s="310">
        <f>D13*E13</f>
        <v>0</v>
      </c>
    </row>
    <row r="14" spans="1:11" ht="49.5" customHeight="1">
      <c r="A14" s="421">
        <v>3</v>
      </c>
      <c r="B14" s="311" t="s">
        <v>209</v>
      </c>
      <c r="C14" s="312"/>
      <c r="D14" s="313"/>
      <c r="E14" s="314"/>
      <c r="F14" s="315"/>
    </row>
    <row r="15" spans="1:11">
      <c r="A15" s="422"/>
      <c r="B15" s="316" t="s">
        <v>210</v>
      </c>
      <c r="C15" s="317" t="s">
        <v>211</v>
      </c>
      <c r="D15" s="318">
        <v>18</v>
      </c>
      <c r="E15" s="319"/>
      <c r="F15" s="320">
        <f>D15*E15</f>
        <v>0</v>
      </c>
    </row>
    <row r="16" spans="1:11" ht="15.75" thickBot="1">
      <c r="A16" s="423"/>
      <c r="B16" s="321" t="s">
        <v>212</v>
      </c>
      <c r="C16" s="322" t="s">
        <v>211</v>
      </c>
      <c r="D16" s="323">
        <v>18</v>
      </c>
      <c r="E16" s="324"/>
      <c r="F16" s="325">
        <f>D16*E16</f>
        <v>0</v>
      </c>
    </row>
    <row r="17" spans="1:6">
      <c r="A17" s="421">
        <v>4</v>
      </c>
      <c r="B17" s="326" t="s">
        <v>213</v>
      </c>
      <c r="C17" s="312"/>
      <c r="D17" s="313"/>
      <c r="E17" s="314"/>
      <c r="F17" s="315"/>
    </row>
    <row r="18" spans="1:6">
      <c r="A18" s="422"/>
      <c r="B18" s="316" t="s">
        <v>214</v>
      </c>
      <c r="C18" s="317" t="s">
        <v>211</v>
      </c>
      <c r="D18" s="318">
        <v>18</v>
      </c>
      <c r="E18" s="319"/>
      <c r="F18" s="320">
        <f>D18*E18</f>
        <v>0</v>
      </c>
    </row>
    <row r="19" spans="1:6" ht="15.75" thickBot="1">
      <c r="A19" s="424"/>
      <c r="B19" s="327" t="s">
        <v>215</v>
      </c>
      <c r="C19" s="328" t="s">
        <v>211</v>
      </c>
      <c r="D19" s="329">
        <v>18</v>
      </c>
      <c r="E19" s="330"/>
      <c r="F19" s="331">
        <f>D19*E19</f>
        <v>0</v>
      </c>
    </row>
    <row r="20" spans="1:6" ht="76.5" customHeight="1" thickBot="1">
      <c r="A20" s="332">
        <v>5</v>
      </c>
      <c r="B20" s="333" t="s">
        <v>216</v>
      </c>
      <c r="C20" s="334">
        <v>0.2</v>
      </c>
      <c r="D20" s="335">
        <v>0.2</v>
      </c>
      <c r="E20" s="336"/>
      <c r="F20" s="337">
        <f>D20*E20</f>
        <v>0</v>
      </c>
    </row>
    <row r="21" spans="1:6" ht="41.25" customHeight="1" thickBot="1">
      <c r="A21" s="338">
        <v>6</v>
      </c>
      <c r="B21" s="339" t="s">
        <v>217</v>
      </c>
      <c r="C21" s="340" t="s">
        <v>72</v>
      </c>
      <c r="D21" s="341">
        <v>8</v>
      </c>
      <c r="E21" s="303"/>
      <c r="F21" s="315">
        <f>D21*E21</f>
        <v>0</v>
      </c>
    </row>
    <row r="22" spans="1:6" ht="45.75" customHeight="1" thickBot="1">
      <c r="A22" s="332">
        <v>7</v>
      </c>
      <c r="B22" s="339" t="s">
        <v>218</v>
      </c>
      <c r="C22" s="328" t="s">
        <v>211</v>
      </c>
      <c r="D22" s="335">
        <v>20</v>
      </c>
      <c r="E22" s="336"/>
      <c r="F22" s="315">
        <f>D22*E22</f>
        <v>0</v>
      </c>
    </row>
    <row r="23" spans="1:6" ht="57" customHeight="1">
      <c r="A23" s="342">
        <v>8</v>
      </c>
      <c r="B23" s="343" t="s">
        <v>219</v>
      </c>
      <c r="C23" s="312"/>
      <c r="D23" s="313"/>
      <c r="E23" s="314"/>
      <c r="F23" s="315"/>
    </row>
    <row r="24" spans="1:6" ht="15.75" thickBot="1">
      <c r="A24" s="344"/>
      <c r="B24" s="345" t="s">
        <v>220</v>
      </c>
      <c r="C24" s="328" t="s">
        <v>211</v>
      </c>
      <c r="D24" s="329">
        <v>36</v>
      </c>
      <c r="E24" s="330"/>
      <c r="F24" s="331">
        <f>D24*E24</f>
        <v>0</v>
      </c>
    </row>
    <row r="25" spans="1:6" ht="32.25" customHeight="1" thickBot="1">
      <c r="A25" s="332">
        <v>9</v>
      </c>
      <c r="B25" s="346" t="s">
        <v>221</v>
      </c>
      <c r="C25" s="347" t="s">
        <v>669</v>
      </c>
      <c r="D25" s="335">
        <v>1</v>
      </c>
      <c r="E25" s="336"/>
      <c r="F25" s="348">
        <f>E25*D25</f>
        <v>0</v>
      </c>
    </row>
    <row r="26" spans="1:6" ht="15.75" thickBot="1">
      <c r="A26" s="286"/>
      <c r="B26" s="349" t="s">
        <v>19</v>
      </c>
      <c r="C26" s="350"/>
      <c r="D26" s="351"/>
      <c r="E26" s="352"/>
      <c r="F26" s="353">
        <f>SUM(F12:F25)</f>
        <v>0</v>
      </c>
    </row>
  </sheetData>
  <mergeCells count="3">
    <mergeCell ref="B9:F9"/>
    <mergeCell ref="A14:A16"/>
    <mergeCell ref="A17:A19"/>
  </mergeCells>
  <printOptions gridLines="1"/>
  <pageMargins left="0.7" right="0.7" top="0.75" bottom="0.75" header="0.3" footer="0.3"/>
  <pageSetup paperSize="9" scale="81"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58"/>
  <sheetViews>
    <sheetView view="pageBreakPreview" topLeftCell="A152" zoomScaleNormal="70" zoomScaleSheetLayoutView="100" workbookViewId="0">
      <selection activeCell="H159" sqref="H159"/>
    </sheetView>
  </sheetViews>
  <sheetFormatPr defaultColWidth="9.140625" defaultRowHeight="12.75"/>
  <cols>
    <col min="1" max="1" width="4.140625" style="208" bestFit="1" customWidth="1"/>
    <col min="2" max="2" width="43" style="114" customWidth="1"/>
    <col min="3" max="3" width="45.28515625" style="114" hidden="1" customWidth="1"/>
    <col min="4" max="4" width="7.28515625" style="114" bestFit="1" customWidth="1"/>
    <col min="5" max="5" width="11.7109375" style="204" customWidth="1"/>
    <col min="6" max="6" width="11.7109375" style="205" customWidth="1"/>
    <col min="7" max="7" width="13.28515625" style="206" customWidth="1"/>
    <col min="8" max="8" width="21.7109375" style="114" customWidth="1"/>
    <col min="9" max="9" width="16.28515625" style="114" customWidth="1"/>
    <col min="10" max="11" width="12.42578125" style="114" bestFit="1" customWidth="1"/>
    <col min="12" max="16384" width="9.140625" style="114"/>
  </cols>
  <sheetData>
    <row r="1" spans="1:11" s="21" customFormat="1" ht="63.75">
      <c r="A1" s="16"/>
      <c r="B1" s="17" t="s">
        <v>41</v>
      </c>
      <c r="C1" s="15"/>
      <c r="D1" s="18"/>
      <c r="E1" s="19"/>
      <c r="F1" s="18"/>
      <c r="G1" s="18"/>
      <c r="H1" s="18"/>
      <c r="I1" s="19"/>
      <c r="J1" s="18"/>
      <c r="K1" s="18"/>
    </row>
    <row r="2" spans="1:11" ht="12" customHeight="1">
      <c r="A2" s="362"/>
      <c r="B2" s="363"/>
      <c r="C2" s="363"/>
      <c r="D2" s="363"/>
      <c r="E2" s="364"/>
      <c r="F2" s="365"/>
      <c r="G2" s="366"/>
    </row>
    <row r="3" spans="1:11" s="115" customFormat="1" ht="127.5">
      <c r="A3" s="356"/>
      <c r="B3" s="357" t="s">
        <v>535</v>
      </c>
      <c r="C3" s="357" t="s">
        <v>222</v>
      </c>
      <c r="D3" s="358"/>
      <c r="E3" s="359"/>
      <c r="F3" s="360"/>
      <c r="G3" s="361"/>
      <c r="H3" s="114"/>
    </row>
    <row r="4" spans="1:11" s="115" customFormat="1" ht="12" customHeight="1">
      <c r="A4" s="116"/>
      <c r="B4" s="117"/>
      <c r="C4" s="117"/>
      <c r="D4" s="118"/>
      <c r="E4" s="119"/>
      <c r="F4" s="120"/>
      <c r="G4" s="121"/>
      <c r="H4" s="114"/>
    </row>
    <row r="5" spans="1:11" s="128" customFormat="1" ht="58.9" customHeight="1">
      <c r="A5" s="122" t="s">
        <v>223</v>
      </c>
      <c r="B5" s="123" t="s">
        <v>224</v>
      </c>
      <c r="C5" s="123" t="s">
        <v>225</v>
      </c>
      <c r="D5" s="124" t="s">
        <v>226</v>
      </c>
      <c r="E5" s="125" t="s">
        <v>227</v>
      </c>
      <c r="F5" s="126" t="s">
        <v>228</v>
      </c>
      <c r="G5" s="127" t="s">
        <v>229</v>
      </c>
      <c r="H5" s="114"/>
    </row>
    <row r="6" spans="1:11" ht="12" customHeight="1">
      <c r="A6" s="111"/>
      <c r="B6" s="129"/>
      <c r="C6" s="129"/>
      <c r="D6" s="130"/>
      <c r="E6" s="112"/>
      <c r="F6" s="113"/>
      <c r="G6" s="131"/>
    </row>
    <row r="7" spans="1:11">
      <c r="A7" s="111"/>
      <c r="B7" s="132" t="s">
        <v>230</v>
      </c>
      <c r="C7" s="132" t="s">
        <v>231</v>
      </c>
      <c r="D7" s="130"/>
      <c r="E7" s="112"/>
      <c r="F7" s="113"/>
      <c r="G7" s="131"/>
    </row>
    <row r="8" spans="1:11" s="133" customFormat="1" ht="12" customHeight="1">
      <c r="A8" s="111"/>
      <c r="B8" s="132"/>
      <c r="C8" s="132"/>
      <c r="D8" s="130"/>
      <c r="E8" s="112"/>
      <c r="F8" s="113"/>
      <c r="G8" s="131"/>
      <c r="H8" s="114"/>
    </row>
    <row r="9" spans="1:11">
      <c r="A9" s="111"/>
      <c r="B9" s="134" t="s">
        <v>232</v>
      </c>
      <c r="C9" s="134" t="s">
        <v>233</v>
      </c>
      <c r="D9" s="130"/>
      <c r="E9" s="112"/>
      <c r="F9" s="113"/>
      <c r="G9" s="131"/>
    </row>
    <row r="10" spans="1:11" s="133" customFormat="1" ht="6" customHeight="1">
      <c r="A10" s="111"/>
      <c r="B10" s="134"/>
      <c r="C10" s="134"/>
      <c r="D10" s="130"/>
      <c r="E10" s="112"/>
      <c r="F10" s="113"/>
      <c r="G10" s="131"/>
      <c r="H10" s="114"/>
    </row>
    <row r="11" spans="1:11" ht="87.75" customHeight="1">
      <c r="A11" s="111"/>
      <c r="B11" s="135" t="s">
        <v>234</v>
      </c>
      <c r="C11" s="135" t="s">
        <v>235</v>
      </c>
      <c r="D11" s="130"/>
      <c r="E11" s="112"/>
      <c r="F11" s="113"/>
      <c r="G11" s="131"/>
    </row>
    <row r="12" spans="1:11" ht="12" customHeight="1">
      <c r="A12" s="111"/>
      <c r="B12" s="135"/>
      <c r="C12" s="135"/>
      <c r="D12" s="130"/>
      <c r="E12" s="112"/>
      <c r="F12" s="113"/>
      <c r="G12" s="131"/>
    </row>
    <row r="13" spans="1:11" ht="63.75">
      <c r="A13" s="111"/>
      <c r="B13" s="135" t="s">
        <v>236</v>
      </c>
      <c r="C13" s="135" t="s">
        <v>237</v>
      </c>
      <c r="D13" s="130"/>
      <c r="E13" s="112"/>
      <c r="F13" s="113"/>
      <c r="G13" s="131"/>
    </row>
    <row r="14" spans="1:11" ht="12" customHeight="1">
      <c r="A14" s="111"/>
      <c r="B14" s="135"/>
      <c r="C14" s="135"/>
      <c r="D14" s="130"/>
      <c r="E14" s="112"/>
      <c r="F14" s="113"/>
      <c r="G14" s="131"/>
    </row>
    <row r="15" spans="1:11" ht="25.5">
      <c r="A15" s="111"/>
      <c r="B15" s="135" t="s">
        <v>238</v>
      </c>
      <c r="C15" s="135" t="s">
        <v>239</v>
      </c>
      <c r="D15" s="130"/>
      <c r="E15" s="112"/>
      <c r="F15" s="113"/>
      <c r="G15" s="131"/>
    </row>
    <row r="16" spans="1:11">
      <c r="A16" s="111"/>
      <c r="B16" s="135"/>
      <c r="C16" s="135"/>
      <c r="D16" s="130"/>
      <c r="E16" s="112"/>
      <c r="F16" s="113"/>
      <c r="G16" s="131"/>
    </row>
    <row r="17" spans="1:7" ht="81.599999999999994" customHeight="1">
      <c r="A17" s="425">
        <v>1</v>
      </c>
      <c r="B17" s="135" t="s">
        <v>240</v>
      </c>
      <c r="C17" s="135" t="s">
        <v>241</v>
      </c>
      <c r="D17" s="130"/>
      <c r="E17" s="112"/>
      <c r="F17" s="113"/>
      <c r="G17" s="131"/>
    </row>
    <row r="18" spans="1:7" ht="19.149999999999999" customHeight="1">
      <c r="A18" s="426"/>
      <c r="B18" s="135" t="s">
        <v>242</v>
      </c>
      <c r="C18" s="135" t="s">
        <v>243</v>
      </c>
      <c r="D18" s="136" t="s">
        <v>244</v>
      </c>
      <c r="E18" s="112">
        <v>1</v>
      </c>
      <c r="F18" s="428"/>
      <c r="G18" s="430">
        <f>E22*F18</f>
        <v>0</v>
      </c>
    </row>
    <row r="19" spans="1:7" ht="19.149999999999999" customHeight="1">
      <c r="A19" s="426"/>
      <c r="B19" s="135" t="s">
        <v>245</v>
      </c>
      <c r="C19" s="135" t="s">
        <v>246</v>
      </c>
      <c r="D19" s="136" t="s">
        <v>244</v>
      </c>
      <c r="E19" s="112">
        <v>1</v>
      </c>
      <c r="F19" s="428"/>
      <c r="G19" s="430"/>
    </row>
    <row r="20" spans="1:7" ht="19.149999999999999" customHeight="1">
      <c r="A20" s="426"/>
      <c r="B20" s="135" t="s">
        <v>247</v>
      </c>
      <c r="C20" s="135" t="s">
        <v>246</v>
      </c>
      <c r="D20" s="136" t="s">
        <v>244</v>
      </c>
      <c r="E20" s="112">
        <v>5</v>
      </c>
      <c r="F20" s="428"/>
      <c r="G20" s="430"/>
    </row>
    <row r="21" spans="1:7" ht="70.900000000000006" customHeight="1">
      <c r="A21" s="426"/>
      <c r="B21" s="135" t="s">
        <v>536</v>
      </c>
      <c r="C21" s="135" t="s">
        <v>248</v>
      </c>
      <c r="D21" s="136" t="s">
        <v>244</v>
      </c>
      <c r="E21" s="112">
        <v>4</v>
      </c>
      <c r="F21" s="428"/>
      <c r="G21" s="430"/>
    </row>
    <row r="22" spans="1:7" ht="63.75">
      <c r="A22" s="427"/>
      <c r="B22" s="135" t="s">
        <v>249</v>
      </c>
      <c r="C22" s="135" t="s">
        <v>250</v>
      </c>
      <c r="D22" s="136" t="s">
        <v>244</v>
      </c>
      <c r="E22" s="112">
        <v>11</v>
      </c>
      <c r="F22" s="429"/>
      <c r="G22" s="431"/>
    </row>
    <row r="23" spans="1:7">
      <c r="A23" s="111"/>
      <c r="B23" s="135"/>
      <c r="C23" s="135"/>
      <c r="D23" s="130"/>
      <c r="E23" s="112"/>
      <c r="F23" s="113"/>
      <c r="G23" s="131"/>
    </row>
    <row r="24" spans="1:7" ht="76.5">
      <c r="A24" s="425">
        <v>2</v>
      </c>
      <c r="B24" s="135" t="s">
        <v>251</v>
      </c>
      <c r="C24" s="135" t="s">
        <v>241</v>
      </c>
      <c r="D24" s="130"/>
      <c r="E24" s="112"/>
      <c r="F24" s="113"/>
      <c r="G24" s="131"/>
    </row>
    <row r="25" spans="1:7" ht="19.149999999999999" customHeight="1">
      <c r="A25" s="426"/>
      <c r="B25" s="135" t="s">
        <v>242</v>
      </c>
      <c r="C25" s="135" t="s">
        <v>243</v>
      </c>
      <c r="D25" s="136" t="s">
        <v>244</v>
      </c>
      <c r="E25" s="112">
        <v>1</v>
      </c>
      <c r="F25" s="428"/>
      <c r="G25" s="430">
        <f>E29*F25</f>
        <v>0</v>
      </c>
    </row>
    <row r="26" spans="1:7">
      <c r="A26" s="426"/>
      <c r="B26" s="135" t="s">
        <v>245</v>
      </c>
      <c r="C26" s="135" t="s">
        <v>246</v>
      </c>
      <c r="D26" s="136" t="s">
        <v>244</v>
      </c>
      <c r="E26" s="112">
        <v>2</v>
      </c>
      <c r="F26" s="428"/>
      <c r="G26" s="430"/>
    </row>
    <row r="27" spans="1:7">
      <c r="A27" s="426"/>
      <c r="B27" s="135" t="s">
        <v>247</v>
      </c>
      <c r="C27" s="135" t="s">
        <v>246</v>
      </c>
      <c r="D27" s="136" t="s">
        <v>244</v>
      </c>
      <c r="E27" s="112">
        <v>4</v>
      </c>
      <c r="F27" s="428"/>
      <c r="G27" s="430"/>
    </row>
    <row r="28" spans="1:7" ht="63.75">
      <c r="A28" s="426"/>
      <c r="B28" s="135" t="s">
        <v>536</v>
      </c>
      <c r="C28" s="135" t="s">
        <v>248</v>
      </c>
      <c r="D28" s="136" t="s">
        <v>244</v>
      </c>
      <c r="E28" s="112">
        <v>4</v>
      </c>
      <c r="F28" s="428"/>
      <c r="G28" s="430"/>
    </row>
    <row r="29" spans="1:7" ht="63.75">
      <c r="A29" s="427"/>
      <c r="B29" s="135" t="s">
        <v>249</v>
      </c>
      <c r="C29" s="135" t="s">
        <v>250</v>
      </c>
      <c r="D29" s="136" t="s">
        <v>244</v>
      </c>
      <c r="E29" s="112">
        <v>1</v>
      </c>
      <c r="F29" s="429"/>
      <c r="G29" s="431"/>
    </row>
    <row r="30" spans="1:7">
      <c r="A30" s="111"/>
      <c r="B30" s="135"/>
      <c r="C30" s="135"/>
      <c r="D30" s="130"/>
      <c r="E30" s="112"/>
      <c r="F30" s="113"/>
      <c r="G30" s="131"/>
    </row>
    <row r="31" spans="1:7" ht="121.15" customHeight="1">
      <c r="A31" s="137">
        <v>3</v>
      </c>
      <c r="B31" s="135" t="s">
        <v>537</v>
      </c>
      <c r="C31" s="135" t="s">
        <v>252</v>
      </c>
      <c r="D31" s="130"/>
      <c r="E31" s="112"/>
      <c r="F31" s="113"/>
      <c r="G31" s="131"/>
    </row>
    <row r="32" spans="1:7" ht="74.45" customHeight="1">
      <c r="A32" s="111">
        <v>3.1</v>
      </c>
      <c r="B32" s="135" t="s">
        <v>538</v>
      </c>
      <c r="C32" s="138" t="s">
        <v>254</v>
      </c>
      <c r="D32" s="130" t="s">
        <v>115</v>
      </c>
      <c r="E32" s="112">
        <v>1</v>
      </c>
      <c r="F32" s="113"/>
      <c r="G32" s="131">
        <f t="shared" ref="G32:G39" si="0">F32*E32</f>
        <v>0</v>
      </c>
    </row>
    <row r="33" spans="1:8" ht="20.45" customHeight="1">
      <c r="A33" s="111">
        <v>3.2</v>
      </c>
      <c r="B33" s="135" t="s">
        <v>253</v>
      </c>
      <c r="C33" s="138" t="s">
        <v>254</v>
      </c>
      <c r="D33" s="130" t="s">
        <v>15</v>
      </c>
      <c r="E33" s="112">
        <f>12*30</f>
        <v>360</v>
      </c>
      <c r="F33" s="113"/>
      <c r="G33" s="131">
        <f t="shared" si="0"/>
        <v>0</v>
      </c>
    </row>
    <row r="34" spans="1:8" ht="54.6" customHeight="1">
      <c r="A34" s="111">
        <v>4</v>
      </c>
      <c r="B34" s="139" t="s">
        <v>255</v>
      </c>
      <c r="C34" s="139"/>
      <c r="D34" s="130" t="s">
        <v>115</v>
      </c>
      <c r="E34" s="112">
        <v>1</v>
      </c>
      <c r="F34" s="113"/>
      <c r="G34" s="131">
        <f t="shared" si="0"/>
        <v>0</v>
      </c>
    </row>
    <row r="35" spans="1:8" ht="43.15" customHeight="1">
      <c r="A35" s="111">
        <v>5</v>
      </c>
      <c r="B35" s="139" t="s">
        <v>256</v>
      </c>
      <c r="C35" s="139"/>
      <c r="D35" s="130" t="s">
        <v>257</v>
      </c>
      <c r="E35" s="112">
        <v>10</v>
      </c>
      <c r="F35" s="113"/>
      <c r="G35" s="131">
        <f t="shared" si="0"/>
        <v>0</v>
      </c>
    </row>
    <row r="36" spans="1:8" ht="47.45" customHeight="1">
      <c r="A36" s="111">
        <v>6</v>
      </c>
      <c r="B36" s="139" t="s">
        <v>258</v>
      </c>
      <c r="C36" s="139"/>
      <c r="D36" s="130" t="s">
        <v>115</v>
      </c>
      <c r="E36" s="112">
        <v>1</v>
      </c>
      <c r="F36" s="113"/>
      <c r="G36" s="131">
        <f t="shared" si="0"/>
        <v>0</v>
      </c>
    </row>
    <row r="37" spans="1:8" ht="38.450000000000003" customHeight="1">
      <c r="A37" s="111">
        <v>7</v>
      </c>
      <c r="B37" s="139" t="s">
        <v>259</v>
      </c>
      <c r="C37" s="139"/>
      <c r="D37" s="130" t="s">
        <v>115</v>
      </c>
      <c r="E37" s="112">
        <v>1</v>
      </c>
      <c r="F37" s="113"/>
      <c r="G37" s="131">
        <f t="shared" si="0"/>
        <v>0</v>
      </c>
    </row>
    <row r="38" spans="1:8" ht="84" customHeight="1">
      <c r="A38" s="111">
        <v>8</v>
      </c>
      <c r="B38" s="139" t="s">
        <v>539</v>
      </c>
      <c r="C38" s="139"/>
      <c r="D38" s="130" t="s">
        <v>115</v>
      </c>
      <c r="E38" s="112">
        <v>1</v>
      </c>
      <c r="F38" s="113"/>
      <c r="G38" s="131">
        <f t="shared" si="0"/>
        <v>0</v>
      </c>
    </row>
    <row r="39" spans="1:8" ht="45" customHeight="1">
      <c r="A39" s="111">
        <v>9</v>
      </c>
      <c r="B39" s="139" t="s">
        <v>260</v>
      </c>
      <c r="C39" s="139"/>
      <c r="D39" s="130" t="s">
        <v>115</v>
      </c>
      <c r="E39" s="112">
        <v>1</v>
      </c>
      <c r="F39" s="113"/>
      <c r="G39" s="131">
        <f t="shared" si="0"/>
        <v>0</v>
      </c>
    </row>
    <row r="40" spans="1:8" ht="11.25" customHeight="1">
      <c r="A40" s="140"/>
      <c r="B40" s="135"/>
      <c r="C40" s="135"/>
      <c r="D40" s="130"/>
      <c r="E40" s="112"/>
      <c r="F40" s="113"/>
      <c r="G40" s="131"/>
    </row>
    <row r="41" spans="1:8" ht="15.75" customHeight="1">
      <c r="A41" s="140"/>
      <c r="B41" s="141" t="s">
        <v>261</v>
      </c>
      <c r="C41" s="141" t="s">
        <v>262</v>
      </c>
      <c r="D41" s="130"/>
      <c r="E41" s="112"/>
      <c r="F41" s="113"/>
      <c r="G41" s="131">
        <f>SUM(G17:G40)</f>
        <v>0</v>
      </c>
    </row>
    <row r="42" spans="1:8" ht="11.25" customHeight="1">
      <c r="A42" s="140"/>
      <c r="B42" s="141"/>
      <c r="C42" s="141"/>
      <c r="D42" s="130"/>
      <c r="E42" s="112"/>
      <c r="F42" s="113"/>
      <c r="G42" s="131"/>
    </row>
    <row r="43" spans="1:8" ht="16.899999999999999" customHeight="1">
      <c r="A43" s="140"/>
      <c r="B43" s="141" t="s">
        <v>263</v>
      </c>
      <c r="C43" s="141" t="s">
        <v>264</v>
      </c>
      <c r="D43" s="130"/>
      <c r="E43" s="112"/>
      <c r="F43" s="113"/>
      <c r="G43" s="131"/>
    </row>
    <row r="44" spans="1:8" s="148" customFormat="1" ht="11.25" customHeight="1">
      <c r="A44" s="142"/>
      <c r="B44" s="143"/>
      <c r="C44" s="143"/>
      <c r="D44" s="144"/>
      <c r="E44" s="145"/>
      <c r="F44" s="146"/>
      <c r="G44" s="147"/>
      <c r="H44" s="114"/>
    </row>
    <row r="45" spans="1:8" s="148" customFormat="1" ht="46.15" customHeight="1">
      <c r="A45" s="149"/>
      <c r="B45" s="150" t="s">
        <v>265</v>
      </c>
      <c r="C45" s="150" t="s">
        <v>266</v>
      </c>
      <c r="D45" s="151"/>
      <c r="E45" s="145"/>
      <c r="F45" s="146"/>
      <c r="G45" s="147"/>
      <c r="H45" s="114"/>
    </row>
    <row r="46" spans="1:8" s="148" customFormat="1" ht="33.6" customHeight="1">
      <c r="A46" s="149"/>
      <c r="B46" s="150" t="s">
        <v>267</v>
      </c>
      <c r="C46" s="150" t="s">
        <v>268</v>
      </c>
      <c r="D46" s="151"/>
      <c r="E46" s="145"/>
      <c r="F46" s="146"/>
      <c r="G46" s="147"/>
      <c r="H46" s="114"/>
    </row>
    <row r="47" spans="1:8" s="155" customFormat="1" ht="67.150000000000006" customHeight="1">
      <c r="A47" s="152">
        <v>1</v>
      </c>
      <c r="B47" s="153" t="s">
        <v>540</v>
      </c>
      <c r="C47" s="153" t="s">
        <v>269</v>
      </c>
      <c r="D47" s="154" t="s">
        <v>32</v>
      </c>
      <c r="E47" s="112">
        <f>4*6+5*3+5</f>
        <v>44</v>
      </c>
      <c r="F47" s="113"/>
      <c r="G47" s="131">
        <f t="shared" ref="G47:G53" si="1">F47*E47</f>
        <v>0</v>
      </c>
      <c r="H47" s="114"/>
    </row>
    <row r="48" spans="1:8" ht="81" customHeight="1">
      <c r="A48" s="152">
        <v>2</v>
      </c>
      <c r="B48" s="153" t="s">
        <v>541</v>
      </c>
      <c r="C48" s="153" t="s">
        <v>270</v>
      </c>
      <c r="D48" s="154" t="s">
        <v>32</v>
      </c>
      <c r="E48" s="112">
        <v>2</v>
      </c>
      <c r="F48" s="113"/>
      <c r="G48" s="131">
        <f t="shared" si="1"/>
        <v>0</v>
      </c>
    </row>
    <row r="49" spans="1:7" ht="51">
      <c r="A49" s="152">
        <v>3</v>
      </c>
      <c r="B49" s="156" t="s">
        <v>271</v>
      </c>
      <c r="C49" s="156" t="s">
        <v>272</v>
      </c>
      <c r="D49" s="154" t="s">
        <v>32</v>
      </c>
      <c r="E49" s="112">
        <v>14</v>
      </c>
      <c r="F49" s="113"/>
      <c r="G49" s="131">
        <f t="shared" si="1"/>
        <v>0</v>
      </c>
    </row>
    <row r="50" spans="1:7" ht="51">
      <c r="A50" s="152">
        <v>4</v>
      </c>
      <c r="B50" s="156" t="s">
        <v>273</v>
      </c>
      <c r="C50" s="156" t="s">
        <v>272</v>
      </c>
      <c r="D50" s="154" t="s">
        <v>32</v>
      </c>
      <c r="E50" s="112">
        <v>2</v>
      </c>
      <c r="F50" s="113"/>
      <c r="G50" s="131">
        <f t="shared" si="1"/>
        <v>0</v>
      </c>
    </row>
    <row r="51" spans="1:7" ht="20.45" customHeight="1">
      <c r="A51" s="152">
        <v>5</v>
      </c>
      <c r="B51" s="153" t="s">
        <v>274</v>
      </c>
      <c r="C51" s="153" t="s">
        <v>275</v>
      </c>
      <c r="D51" s="157" t="s">
        <v>15</v>
      </c>
      <c r="E51" s="112">
        <f>(E47+E48+E49+E50)*5</f>
        <v>310</v>
      </c>
      <c r="F51" s="113"/>
      <c r="G51" s="131">
        <f t="shared" si="1"/>
        <v>0</v>
      </c>
    </row>
    <row r="52" spans="1:7" ht="14.25" customHeight="1">
      <c r="A52" s="152">
        <v>6</v>
      </c>
      <c r="B52" s="153" t="s">
        <v>276</v>
      </c>
      <c r="C52" s="153" t="s">
        <v>277</v>
      </c>
      <c r="D52" s="157" t="s">
        <v>15</v>
      </c>
      <c r="E52" s="112">
        <f>E51</f>
        <v>310</v>
      </c>
      <c r="F52" s="113"/>
      <c r="G52" s="131">
        <f t="shared" si="1"/>
        <v>0</v>
      </c>
    </row>
    <row r="53" spans="1:7" ht="70.150000000000006" customHeight="1">
      <c r="A53" s="152">
        <v>7</v>
      </c>
      <c r="B53" s="156" t="s">
        <v>278</v>
      </c>
      <c r="C53" s="156" t="s">
        <v>279</v>
      </c>
      <c r="D53" s="154" t="s">
        <v>32</v>
      </c>
      <c r="E53" s="112">
        <v>1</v>
      </c>
      <c r="F53" s="113"/>
      <c r="G53" s="131">
        <f t="shared" si="1"/>
        <v>0</v>
      </c>
    </row>
    <row r="54" spans="1:7" ht="27.6" customHeight="1">
      <c r="A54" s="152"/>
      <c r="B54" s="153" t="s">
        <v>280</v>
      </c>
      <c r="C54" s="153" t="s">
        <v>281</v>
      </c>
      <c r="D54" s="157"/>
      <c r="E54" s="112"/>
      <c r="F54" s="113"/>
      <c r="G54" s="131"/>
    </row>
    <row r="55" spans="1:7" ht="29.25" customHeight="1">
      <c r="A55" s="152">
        <v>8</v>
      </c>
      <c r="B55" s="153" t="s">
        <v>282</v>
      </c>
      <c r="C55" s="153" t="s">
        <v>283</v>
      </c>
      <c r="D55" s="154" t="s">
        <v>32</v>
      </c>
      <c r="E55" s="112">
        <v>1</v>
      </c>
      <c r="F55" s="113"/>
      <c r="G55" s="131">
        <f t="shared" ref="G55" si="2">F55*E55</f>
        <v>0</v>
      </c>
    </row>
    <row r="56" spans="1:7" ht="11.25" customHeight="1">
      <c r="A56" s="140"/>
      <c r="B56" s="135"/>
      <c r="C56" s="135"/>
      <c r="D56" s="130"/>
      <c r="E56" s="112"/>
      <c r="F56" s="113"/>
      <c r="G56" s="131"/>
    </row>
    <row r="57" spans="1:7" ht="14.25" customHeight="1">
      <c r="A57" s="158"/>
      <c r="B57" s="141" t="s">
        <v>284</v>
      </c>
      <c r="C57" s="141" t="s">
        <v>285</v>
      </c>
      <c r="D57" s="159"/>
      <c r="E57" s="160"/>
      <c r="F57" s="113"/>
      <c r="G57" s="131">
        <f>SUM(G47:G56)</f>
        <v>0</v>
      </c>
    </row>
    <row r="58" spans="1:7" ht="17.25" customHeight="1">
      <c r="A58" s="140"/>
      <c r="B58" s="135"/>
      <c r="C58" s="135"/>
      <c r="D58" s="130"/>
      <c r="E58" s="112"/>
      <c r="F58" s="113"/>
      <c r="G58" s="131"/>
    </row>
    <row r="59" spans="1:7" ht="21.75" customHeight="1">
      <c r="A59" s="140"/>
      <c r="B59" s="141" t="s">
        <v>286</v>
      </c>
      <c r="C59" s="141" t="s">
        <v>287</v>
      </c>
      <c r="D59" s="130"/>
      <c r="E59" s="112"/>
      <c r="F59" s="113"/>
      <c r="G59" s="131"/>
    </row>
    <row r="60" spans="1:7" ht="20.25" customHeight="1">
      <c r="A60" s="140"/>
      <c r="B60" s="141"/>
      <c r="C60" s="141"/>
      <c r="D60" s="130"/>
      <c r="E60" s="112"/>
      <c r="F60" s="113"/>
      <c r="G60" s="131"/>
    </row>
    <row r="61" spans="1:7" ht="26.25" customHeight="1">
      <c r="A61" s="158"/>
      <c r="B61" s="135" t="s">
        <v>288</v>
      </c>
      <c r="C61" s="135" t="s">
        <v>289</v>
      </c>
      <c r="D61" s="159"/>
      <c r="E61" s="161"/>
      <c r="F61" s="131"/>
      <c r="G61" s="131"/>
    </row>
    <row r="62" spans="1:7" ht="74.45" customHeight="1">
      <c r="A62" s="140">
        <v>1</v>
      </c>
      <c r="B62" s="135" t="s">
        <v>290</v>
      </c>
      <c r="C62" s="135" t="s">
        <v>291</v>
      </c>
      <c r="D62" s="154" t="s">
        <v>244</v>
      </c>
      <c r="E62" s="112">
        <f>9*11+4</f>
        <v>103</v>
      </c>
      <c r="F62" s="113"/>
      <c r="G62" s="131">
        <f t="shared" ref="G62" si="3">F62*E62</f>
        <v>0</v>
      </c>
    </row>
    <row r="63" spans="1:7" ht="38.25">
      <c r="A63" s="140"/>
      <c r="B63" s="135" t="s">
        <v>292</v>
      </c>
      <c r="C63" s="135" t="s">
        <v>293</v>
      </c>
      <c r="D63" s="130"/>
      <c r="E63" s="112"/>
      <c r="F63" s="113"/>
      <c r="G63" s="131"/>
    </row>
    <row r="64" spans="1:7">
      <c r="A64" s="140">
        <v>2</v>
      </c>
      <c r="B64" s="135" t="s">
        <v>294</v>
      </c>
      <c r="C64" s="135" t="s">
        <v>295</v>
      </c>
      <c r="D64" s="130" t="s">
        <v>15</v>
      </c>
      <c r="E64" s="112">
        <f>E62*10-30</f>
        <v>1000</v>
      </c>
      <c r="F64" s="113"/>
      <c r="G64" s="131">
        <f t="shared" ref="G64" si="4">F64*E64</f>
        <v>0</v>
      </c>
    </row>
    <row r="65" spans="1:15" ht="76.5">
      <c r="A65" s="140"/>
      <c r="B65" s="135" t="s">
        <v>296</v>
      </c>
      <c r="C65" s="135" t="s">
        <v>297</v>
      </c>
      <c r="D65" s="130"/>
      <c r="E65" s="112"/>
      <c r="F65" s="113"/>
      <c r="G65" s="131"/>
    </row>
    <row r="66" spans="1:15" ht="51">
      <c r="A66" s="140">
        <v>3</v>
      </c>
      <c r="B66" s="135" t="s">
        <v>298</v>
      </c>
      <c r="C66" s="135" t="s">
        <v>299</v>
      </c>
      <c r="D66" s="130" t="s">
        <v>15</v>
      </c>
      <c r="E66" s="119">
        <v>25</v>
      </c>
      <c r="F66" s="113"/>
      <c r="G66" s="131">
        <f t="shared" ref="G66:G70" si="5">F66*E66</f>
        <v>0</v>
      </c>
    </row>
    <row r="67" spans="1:15" ht="63.75">
      <c r="A67" s="140">
        <v>4</v>
      </c>
      <c r="B67" s="135" t="s">
        <v>300</v>
      </c>
      <c r="C67" s="135" t="s">
        <v>301</v>
      </c>
      <c r="D67" s="130" t="s">
        <v>15</v>
      </c>
      <c r="E67" s="119">
        <v>30</v>
      </c>
      <c r="F67" s="113"/>
      <c r="G67" s="131">
        <f t="shared" si="5"/>
        <v>0</v>
      </c>
    </row>
    <row r="68" spans="1:15" ht="63.75">
      <c r="A68" s="140">
        <v>4</v>
      </c>
      <c r="B68" s="135" t="s">
        <v>302</v>
      </c>
      <c r="C68" s="135" t="s">
        <v>303</v>
      </c>
      <c r="D68" s="130" t="s">
        <v>15</v>
      </c>
      <c r="E68" s="119">
        <v>15</v>
      </c>
      <c r="F68" s="113"/>
      <c r="G68" s="131">
        <f t="shared" si="5"/>
        <v>0</v>
      </c>
    </row>
    <row r="69" spans="1:15" ht="84" customHeight="1">
      <c r="A69" s="140">
        <v>5</v>
      </c>
      <c r="B69" s="135" t="s">
        <v>304</v>
      </c>
      <c r="C69" s="135" t="s">
        <v>305</v>
      </c>
      <c r="D69" s="154" t="s">
        <v>115</v>
      </c>
      <c r="E69" s="112"/>
      <c r="F69" s="113"/>
      <c r="G69" s="131">
        <f t="shared" si="5"/>
        <v>0</v>
      </c>
    </row>
    <row r="70" spans="1:15" ht="30" customHeight="1">
      <c r="A70" s="140">
        <v>6</v>
      </c>
      <c r="B70" s="135" t="s">
        <v>306</v>
      </c>
      <c r="C70" s="162" t="s">
        <v>307</v>
      </c>
      <c r="D70" s="154" t="s">
        <v>115</v>
      </c>
      <c r="E70" s="119">
        <v>1</v>
      </c>
      <c r="F70" s="113"/>
      <c r="G70" s="131">
        <f t="shared" si="5"/>
        <v>0</v>
      </c>
    </row>
    <row r="71" spans="1:15">
      <c r="A71" s="140"/>
      <c r="B71" s="135"/>
      <c r="C71" s="135"/>
      <c r="D71" s="130"/>
      <c r="E71" s="112"/>
      <c r="F71" s="113"/>
      <c r="G71" s="131"/>
    </row>
    <row r="72" spans="1:15" ht="15" customHeight="1">
      <c r="A72" s="140"/>
      <c r="B72" s="141" t="s">
        <v>308</v>
      </c>
      <c r="C72" s="141" t="s">
        <v>309</v>
      </c>
      <c r="D72" s="130"/>
      <c r="E72" s="112"/>
      <c r="F72" s="113"/>
      <c r="G72" s="131">
        <f>SUM(G62:G71)</f>
        <v>0</v>
      </c>
    </row>
    <row r="73" spans="1:15">
      <c r="A73" s="140"/>
      <c r="B73" s="141"/>
      <c r="C73" s="141"/>
      <c r="D73" s="130"/>
      <c r="E73" s="112"/>
      <c r="F73" s="113"/>
      <c r="G73" s="131"/>
    </row>
    <row r="74" spans="1:15" ht="25.9" customHeight="1">
      <c r="A74" s="140"/>
      <c r="B74" s="141" t="s">
        <v>310</v>
      </c>
      <c r="C74" s="141" t="s">
        <v>311</v>
      </c>
      <c r="D74" s="130"/>
      <c r="E74" s="112"/>
      <c r="F74" s="113"/>
      <c r="G74" s="131"/>
    </row>
    <row r="75" spans="1:15">
      <c r="A75" s="140"/>
      <c r="B75" s="135"/>
      <c r="C75" s="135"/>
      <c r="D75" s="130"/>
      <c r="E75" s="112"/>
      <c r="F75" s="113"/>
      <c r="G75" s="131"/>
    </row>
    <row r="76" spans="1:15" ht="30.6" customHeight="1">
      <c r="A76" s="116"/>
      <c r="B76" s="163" t="s">
        <v>312</v>
      </c>
      <c r="C76" s="135"/>
      <c r="D76" s="164"/>
      <c r="E76" s="165"/>
      <c r="F76" s="113"/>
      <c r="G76" s="131"/>
    </row>
    <row r="77" spans="1:15" ht="22.9" customHeight="1">
      <c r="A77" s="140"/>
      <c r="B77" s="141" t="s">
        <v>313</v>
      </c>
      <c r="C77" s="141" t="s">
        <v>314</v>
      </c>
      <c r="D77" s="136"/>
      <c r="E77" s="119"/>
      <c r="F77" s="113"/>
      <c r="G77" s="131">
        <f>SUM(G76:G76)</f>
        <v>0</v>
      </c>
    </row>
    <row r="78" spans="1:15" ht="22.9" customHeight="1">
      <c r="A78" s="140"/>
      <c r="B78" s="135"/>
      <c r="C78" s="135"/>
      <c r="D78" s="130"/>
      <c r="E78" s="112"/>
      <c r="F78" s="113"/>
      <c r="G78" s="131"/>
    </row>
    <row r="79" spans="1:15" ht="30" customHeight="1">
      <c r="A79" s="140"/>
      <c r="B79" s="141" t="s">
        <v>315</v>
      </c>
      <c r="C79" s="166" t="s">
        <v>316</v>
      </c>
      <c r="D79" s="167"/>
      <c r="E79" s="168"/>
      <c r="F79" s="169"/>
      <c r="G79" s="170"/>
    </row>
    <row r="80" spans="1:15" ht="22.9" customHeight="1">
      <c r="A80" s="140"/>
      <c r="B80" s="135"/>
      <c r="C80" s="135"/>
      <c r="D80" s="130"/>
      <c r="E80" s="112"/>
      <c r="F80" s="113"/>
      <c r="G80" s="131"/>
      <c r="O80" s="171"/>
    </row>
    <row r="81" spans="1:23" ht="30.6" customHeight="1">
      <c r="A81" s="158"/>
      <c r="B81" s="139" t="s">
        <v>317</v>
      </c>
      <c r="C81" s="139" t="s">
        <v>289</v>
      </c>
      <c r="D81" s="159"/>
      <c r="E81" s="161"/>
      <c r="F81" s="131"/>
      <c r="G81" s="131"/>
    </row>
    <row r="82" spans="1:23" ht="73.900000000000006" customHeight="1">
      <c r="A82" s="140">
        <v>1</v>
      </c>
      <c r="B82" s="139" t="s">
        <v>542</v>
      </c>
      <c r="C82" s="139" t="s">
        <v>319</v>
      </c>
      <c r="D82" s="130" t="s">
        <v>244</v>
      </c>
      <c r="E82" s="119">
        <v>80</v>
      </c>
      <c r="F82" s="113"/>
      <c r="G82" s="131">
        <f>F82*E82</f>
        <v>0</v>
      </c>
    </row>
    <row r="83" spans="1:23" ht="100.9" customHeight="1">
      <c r="A83" s="140">
        <v>2</v>
      </c>
      <c r="B83" s="139" t="s">
        <v>318</v>
      </c>
      <c r="C83" s="139" t="s">
        <v>319</v>
      </c>
      <c r="D83" s="130" t="s">
        <v>244</v>
      </c>
      <c r="E83" s="119">
        <v>1</v>
      </c>
      <c r="F83" s="113"/>
      <c r="G83" s="131">
        <f>F83*E83</f>
        <v>0</v>
      </c>
      <c r="O83" s="171"/>
    </row>
    <row r="84" spans="1:23" ht="48" customHeight="1">
      <c r="A84" s="140">
        <v>3</v>
      </c>
      <c r="B84" s="139" t="s">
        <v>320</v>
      </c>
      <c r="C84" s="139" t="s">
        <v>321</v>
      </c>
      <c r="D84" s="154" t="s">
        <v>244</v>
      </c>
      <c r="E84" s="119">
        <v>1</v>
      </c>
      <c r="F84" s="113"/>
      <c r="G84" s="131">
        <f t="shared" ref="G84:G86" si="6">F84*E84</f>
        <v>0</v>
      </c>
    </row>
    <row r="85" spans="1:23" ht="46.15" customHeight="1">
      <c r="A85" s="140">
        <v>4</v>
      </c>
      <c r="B85" s="139" t="s">
        <v>322</v>
      </c>
      <c r="C85" s="139" t="s">
        <v>323</v>
      </c>
      <c r="D85" s="154" t="s">
        <v>244</v>
      </c>
      <c r="E85" s="119">
        <v>12</v>
      </c>
      <c r="F85" s="113"/>
      <c r="G85" s="131">
        <f t="shared" si="6"/>
        <v>0</v>
      </c>
    </row>
    <row r="86" spans="1:23" ht="84" customHeight="1">
      <c r="A86" s="140">
        <v>5</v>
      </c>
      <c r="B86" s="139" t="s">
        <v>324</v>
      </c>
      <c r="C86" s="139" t="s">
        <v>325</v>
      </c>
      <c r="D86" s="154" t="s">
        <v>244</v>
      </c>
      <c r="E86" s="119">
        <v>1</v>
      </c>
      <c r="F86" s="113"/>
      <c r="G86" s="131">
        <f t="shared" si="6"/>
        <v>0</v>
      </c>
      <c r="N86" s="172"/>
      <c r="O86" s="172"/>
      <c r="P86" s="172"/>
      <c r="Q86" s="172"/>
      <c r="R86" s="172"/>
      <c r="S86" s="172"/>
      <c r="T86" s="172"/>
      <c r="U86" s="172"/>
      <c r="V86" s="172"/>
      <c r="W86" s="172"/>
    </row>
    <row r="87" spans="1:23" ht="19.899999999999999" customHeight="1">
      <c r="A87" s="173"/>
      <c r="B87" s="135"/>
      <c r="C87" s="135"/>
      <c r="D87" s="130"/>
      <c r="E87" s="112"/>
      <c r="F87" s="113"/>
      <c r="G87" s="131"/>
      <c r="N87" s="172"/>
      <c r="O87" s="172"/>
      <c r="P87" s="174"/>
      <c r="Q87" s="175"/>
      <c r="R87" s="171"/>
      <c r="S87" s="171"/>
      <c r="T87" s="171"/>
      <c r="U87" s="172"/>
      <c r="V87" s="172"/>
      <c r="W87" s="172"/>
    </row>
    <row r="88" spans="1:23" ht="24" customHeight="1">
      <c r="A88" s="173"/>
      <c r="B88" s="141" t="s">
        <v>326</v>
      </c>
      <c r="C88" s="141" t="s">
        <v>327</v>
      </c>
      <c r="D88" s="130"/>
      <c r="E88" s="112"/>
      <c r="F88" s="113"/>
      <c r="G88" s="131">
        <f>SUM(G82:G87)</f>
        <v>0</v>
      </c>
      <c r="N88" s="172"/>
      <c r="O88" s="172"/>
      <c r="P88" s="174"/>
      <c r="Q88" s="175"/>
      <c r="R88" s="171"/>
      <c r="S88" s="171"/>
      <c r="T88" s="171"/>
      <c r="U88" s="172"/>
      <c r="V88" s="172"/>
      <c r="W88" s="172"/>
    </row>
    <row r="89" spans="1:23" ht="21.6" customHeight="1">
      <c r="A89" s="173"/>
      <c r="B89" s="135"/>
      <c r="C89" s="135"/>
      <c r="D89" s="130"/>
      <c r="E89" s="112"/>
      <c r="F89" s="113"/>
      <c r="G89" s="131"/>
      <c r="N89" s="172"/>
      <c r="O89" s="172"/>
      <c r="P89" s="174"/>
      <c r="Q89" s="175"/>
      <c r="R89" s="171"/>
      <c r="S89" s="171"/>
      <c r="T89" s="171"/>
      <c r="U89" s="172"/>
      <c r="V89" s="172"/>
      <c r="W89" s="172"/>
    </row>
    <row r="90" spans="1:23" ht="19.899999999999999" customHeight="1">
      <c r="A90" s="140"/>
      <c r="B90" s="141" t="s">
        <v>328</v>
      </c>
      <c r="C90" s="141" t="s">
        <v>329</v>
      </c>
      <c r="D90" s="130"/>
      <c r="E90" s="112"/>
      <c r="F90" s="113"/>
      <c r="G90" s="131"/>
      <c r="N90" s="172"/>
      <c r="O90" s="172"/>
      <c r="P90" s="174"/>
      <c r="Q90" s="175"/>
      <c r="R90" s="171"/>
      <c r="S90" s="171"/>
      <c r="T90" s="171"/>
      <c r="U90" s="172"/>
      <c r="V90" s="172"/>
      <c r="W90" s="172"/>
    </row>
    <row r="91" spans="1:23" ht="19.149999999999999" customHeight="1">
      <c r="A91" s="140"/>
      <c r="B91" s="141" t="s">
        <v>146</v>
      </c>
      <c r="C91" s="141"/>
      <c r="D91" s="130"/>
      <c r="E91" s="112"/>
      <c r="F91" s="113"/>
      <c r="G91" s="131"/>
      <c r="N91" s="172"/>
      <c r="O91" s="172"/>
      <c r="P91" s="174"/>
      <c r="Q91" s="175"/>
      <c r="R91" s="171"/>
      <c r="S91" s="171"/>
      <c r="T91" s="171"/>
      <c r="U91" s="172"/>
      <c r="V91" s="172"/>
      <c r="W91" s="172"/>
    </row>
    <row r="92" spans="1:23" ht="21.6" customHeight="1">
      <c r="A92" s="140"/>
      <c r="B92" s="141" t="s">
        <v>330</v>
      </c>
      <c r="C92" s="141" t="s">
        <v>331</v>
      </c>
      <c r="D92" s="130"/>
      <c r="E92" s="112"/>
      <c r="F92" s="113"/>
      <c r="G92" s="131"/>
      <c r="N92" s="172"/>
      <c r="O92" s="172"/>
      <c r="P92" s="174"/>
      <c r="Q92" s="175"/>
      <c r="R92" s="171"/>
      <c r="S92" s="171"/>
      <c r="T92" s="171"/>
      <c r="U92" s="172"/>
      <c r="V92" s="172"/>
      <c r="W92" s="172"/>
    </row>
    <row r="93" spans="1:23" ht="22.15" customHeight="1">
      <c r="A93" s="173"/>
      <c r="B93" s="141"/>
      <c r="C93" s="141"/>
      <c r="D93" s="130"/>
      <c r="E93" s="112"/>
      <c r="F93" s="113"/>
      <c r="G93" s="131"/>
      <c r="N93" s="172"/>
      <c r="O93" s="172"/>
      <c r="P93" s="174"/>
      <c r="Q93" s="175"/>
      <c r="R93" s="171"/>
      <c r="S93" s="171"/>
      <c r="T93" s="171"/>
      <c r="U93" s="172"/>
      <c r="V93" s="172"/>
      <c r="W93" s="172"/>
    </row>
    <row r="94" spans="1:23" ht="61.15" customHeight="1">
      <c r="A94" s="176"/>
      <c r="B94" s="135" t="s">
        <v>332</v>
      </c>
      <c r="C94" s="135" t="s">
        <v>333</v>
      </c>
      <c r="D94" s="130"/>
      <c r="E94" s="112"/>
      <c r="F94" s="113"/>
      <c r="G94" s="131"/>
      <c r="N94" s="172"/>
      <c r="O94" s="172"/>
      <c r="P94" s="172"/>
      <c r="Q94" s="172"/>
      <c r="R94" s="172"/>
      <c r="S94" s="172"/>
      <c r="T94" s="172"/>
      <c r="U94" s="172"/>
      <c r="V94" s="172"/>
      <c r="W94" s="172"/>
    </row>
    <row r="95" spans="1:23" ht="19.149999999999999" customHeight="1">
      <c r="A95" s="176"/>
      <c r="B95" s="139" t="s">
        <v>334</v>
      </c>
      <c r="C95" s="139" t="s">
        <v>335</v>
      </c>
      <c r="D95" s="130"/>
      <c r="E95" s="112"/>
      <c r="F95" s="113"/>
      <c r="G95" s="131"/>
      <c r="N95" s="172"/>
      <c r="O95" s="172"/>
      <c r="P95" s="174"/>
      <c r="Q95" s="175"/>
      <c r="R95" s="171"/>
      <c r="S95" s="171"/>
      <c r="T95" s="171"/>
      <c r="U95" s="172"/>
      <c r="V95" s="172"/>
      <c r="W95" s="172"/>
    </row>
    <row r="96" spans="1:23" ht="29.45" customHeight="1">
      <c r="A96" s="140">
        <v>1</v>
      </c>
      <c r="B96" s="139" t="s">
        <v>336</v>
      </c>
      <c r="C96" s="139" t="s">
        <v>337</v>
      </c>
      <c r="D96" s="154" t="s">
        <v>244</v>
      </c>
      <c r="E96" s="119">
        <v>13</v>
      </c>
      <c r="F96" s="113"/>
      <c r="G96" s="131">
        <f>F96*E96</f>
        <v>0</v>
      </c>
      <c r="N96" s="172"/>
      <c r="O96" s="172"/>
      <c r="P96" s="172"/>
      <c r="Q96" s="172"/>
      <c r="R96" s="172"/>
      <c r="S96" s="172"/>
      <c r="T96" s="172"/>
      <c r="U96" s="172"/>
      <c r="V96" s="172"/>
      <c r="W96" s="172"/>
    </row>
    <row r="97" spans="1:23" ht="25.15" customHeight="1">
      <c r="A97" s="140">
        <v>2</v>
      </c>
      <c r="B97" s="139" t="s">
        <v>338</v>
      </c>
      <c r="C97" s="139" t="s">
        <v>339</v>
      </c>
      <c r="D97" s="154" t="s">
        <v>244</v>
      </c>
      <c r="E97" s="119">
        <v>2</v>
      </c>
      <c r="F97" s="113"/>
      <c r="G97" s="131">
        <f>F97*E97</f>
        <v>0</v>
      </c>
      <c r="N97" s="172"/>
      <c r="O97" s="172"/>
      <c r="P97" s="172"/>
      <c r="Q97" s="172"/>
      <c r="R97" s="172"/>
      <c r="S97" s="172"/>
      <c r="T97" s="172"/>
      <c r="U97" s="172"/>
      <c r="V97" s="172"/>
      <c r="W97" s="172"/>
    </row>
    <row r="98" spans="1:23" ht="41.45" customHeight="1">
      <c r="A98" s="140">
        <v>3</v>
      </c>
      <c r="B98" s="139" t="s">
        <v>340</v>
      </c>
      <c r="C98" s="139" t="s">
        <v>341</v>
      </c>
      <c r="D98" s="130" t="s">
        <v>257</v>
      </c>
      <c r="E98" s="119">
        <f>(E96+E97)*10</f>
        <v>150</v>
      </c>
      <c r="F98" s="113"/>
      <c r="G98" s="131">
        <f>F98*E98</f>
        <v>0</v>
      </c>
      <c r="N98" s="172"/>
      <c r="O98" s="172"/>
      <c r="P98" s="172"/>
      <c r="Q98" s="172"/>
      <c r="R98" s="172"/>
      <c r="S98" s="172"/>
      <c r="T98" s="172"/>
      <c r="U98" s="172"/>
      <c r="V98" s="172"/>
      <c r="W98" s="172"/>
    </row>
    <row r="99" spans="1:23" ht="34.15" customHeight="1">
      <c r="A99" s="140">
        <v>4</v>
      </c>
      <c r="B99" s="139" t="s">
        <v>342</v>
      </c>
      <c r="C99" s="139" t="s">
        <v>343</v>
      </c>
      <c r="D99" s="130" t="s">
        <v>257</v>
      </c>
      <c r="E99" s="119">
        <f>E98</f>
        <v>150</v>
      </c>
      <c r="F99" s="113"/>
      <c r="G99" s="131">
        <f>F99*E99</f>
        <v>0</v>
      </c>
      <c r="N99" s="172"/>
      <c r="O99" s="172"/>
      <c r="P99" s="172"/>
      <c r="Q99" s="172"/>
      <c r="R99" s="172"/>
      <c r="S99" s="172"/>
      <c r="T99" s="172"/>
      <c r="U99" s="172"/>
      <c r="V99" s="172"/>
      <c r="W99" s="172"/>
    </row>
    <row r="100" spans="1:23" ht="19.899999999999999" customHeight="1">
      <c r="A100" s="140"/>
      <c r="B100" s="141"/>
      <c r="C100" s="141"/>
      <c r="D100" s="130"/>
      <c r="E100" s="112"/>
      <c r="F100" s="113"/>
      <c r="G100" s="131"/>
    </row>
    <row r="101" spans="1:23" ht="25.9" customHeight="1">
      <c r="A101" s="173"/>
      <c r="B101" s="141" t="s">
        <v>344</v>
      </c>
      <c r="C101" s="141" t="s">
        <v>345</v>
      </c>
      <c r="D101" s="130"/>
      <c r="E101" s="112"/>
      <c r="F101" s="113"/>
      <c r="G101" s="131">
        <f>SUM(G95:G100)</f>
        <v>0</v>
      </c>
    </row>
    <row r="102" spans="1:23" ht="21.6" customHeight="1">
      <c r="A102" s="140"/>
      <c r="B102" s="141"/>
      <c r="C102" s="141"/>
      <c r="D102" s="130"/>
      <c r="E102" s="112"/>
      <c r="F102" s="113"/>
      <c r="G102" s="131"/>
    </row>
    <row r="103" spans="1:23" ht="21.6" customHeight="1">
      <c r="A103" s="140"/>
      <c r="B103" s="141" t="s">
        <v>346</v>
      </c>
      <c r="C103" s="166" t="s">
        <v>347</v>
      </c>
      <c r="D103" s="167"/>
      <c r="E103" s="168"/>
      <c r="F103" s="169"/>
      <c r="G103" s="170"/>
    </row>
    <row r="104" spans="1:23" ht="23.45" customHeight="1">
      <c r="A104" s="140"/>
      <c r="B104" s="141"/>
      <c r="C104" s="141"/>
      <c r="D104" s="130"/>
      <c r="E104" s="112"/>
      <c r="F104" s="113"/>
      <c r="G104" s="131"/>
    </row>
    <row r="105" spans="1:23" ht="34.15" customHeight="1">
      <c r="A105" s="158"/>
      <c r="B105" s="135" t="s">
        <v>317</v>
      </c>
      <c r="C105" s="135" t="s">
        <v>289</v>
      </c>
      <c r="D105" s="159"/>
      <c r="E105" s="161"/>
      <c r="F105" s="131"/>
      <c r="G105" s="131"/>
    </row>
    <row r="106" spans="1:23" ht="406.15" customHeight="1">
      <c r="A106" s="140">
        <v>1</v>
      </c>
      <c r="B106" s="177" t="s">
        <v>543</v>
      </c>
      <c r="C106" s="177" t="s">
        <v>348</v>
      </c>
      <c r="D106" s="154" t="s">
        <v>244</v>
      </c>
      <c r="E106" s="112">
        <v>1</v>
      </c>
      <c r="F106" s="113"/>
      <c r="G106" s="131">
        <f t="shared" ref="G106:G111" si="7">F106*E106</f>
        <v>0</v>
      </c>
    </row>
    <row r="107" spans="1:23" ht="37.15" customHeight="1">
      <c r="A107" s="140">
        <v>2</v>
      </c>
      <c r="B107" s="177" t="s">
        <v>349</v>
      </c>
      <c r="C107" s="177" t="s">
        <v>350</v>
      </c>
      <c r="D107" s="154" t="s">
        <v>244</v>
      </c>
      <c r="E107" s="119">
        <v>15</v>
      </c>
      <c r="F107" s="113"/>
      <c r="G107" s="131">
        <f t="shared" si="7"/>
        <v>0</v>
      </c>
    </row>
    <row r="108" spans="1:23" ht="28.9" customHeight="1">
      <c r="A108" s="140">
        <v>3</v>
      </c>
      <c r="B108" s="177" t="s">
        <v>544</v>
      </c>
      <c r="C108" s="177" t="s">
        <v>351</v>
      </c>
      <c r="D108" s="154" t="s">
        <v>244</v>
      </c>
      <c r="E108" s="112">
        <f>E107</f>
        <v>15</v>
      </c>
      <c r="F108" s="113"/>
      <c r="G108" s="131">
        <f t="shared" si="7"/>
        <v>0</v>
      </c>
    </row>
    <row r="109" spans="1:23" ht="42.6" customHeight="1">
      <c r="A109" s="140">
        <v>4</v>
      </c>
      <c r="B109" s="177" t="s">
        <v>352</v>
      </c>
      <c r="C109" s="177" t="s">
        <v>353</v>
      </c>
      <c r="D109" s="154" t="s">
        <v>244</v>
      </c>
      <c r="E109" s="119">
        <f>E108+E110+E111</f>
        <v>19</v>
      </c>
      <c r="F109" s="113"/>
      <c r="G109" s="131">
        <f t="shared" si="7"/>
        <v>0</v>
      </c>
    </row>
    <row r="110" spans="1:23" ht="50.45" customHeight="1">
      <c r="A110" s="140">
        <v>5</v>
      </c>
      <c r="B110" s="177" t="s">
        <v>354</v>
      </c>
      <c r="C110" s="177" t="s">
        <v>355</v>
      </c>
      <c r="D110" s="154" t="s">
        <v>244</v>
      </c>
      <c r="E110" s="119">
        <v>2</v>
      </c>
      <c r="F110" s="113"/>
      <c r="G110" s="131">
        <f t="shared" si="7"/>
        <v>0</v>
      </c>
    </row>
    <row r="111" spans="1:23" ht="32.450000000000003" customHeight="1">
      <c r="A111" s="140">
        <v>6</v>
      </c>
      <c r="B111" s="178" t="s">
        <v>356</v>
      </c>
      <c r="C111" s="178" t="s">
        <v>357</v>
      </c>
      <c r="D111" s="154" t="s">
        <v>244</v>
      </c>
      <c r="E111" s="119">
        <v>2</v>
      </c>
      <c r="F111" s="113"/>
      <c r="G111" s="131">
        <f t="shared" si="7"/>
        <v>0</v>
      </c>
    </row>
    <row r="112" spans="1:23" ht="34.9" customHeight="1">
      <c r="A112" s="179"/>
      <c r="B112" s="180" t="s">
        <v>358</v>
      </c>
      <c r="C112" s="180" t="s">
        <v>359</v>
      </c>
      <c r="D112" s="136"/>
      <c r="E112" s="119"/>
      <c r="F112" s="113"/>
      <c r="G112" s="131"/>
    </row>
    <row r="113" spans="1:7" ht="27" customHeight="1">
      <c r="A113" s="179"/>
      <c r="B113" s="178" t="s">
        <v>360</v>
      </c>
      <c r="C113" s="178" t="s">
        <v>361</v>
      </c>
      <c r="D113" s="136"/>
      <c r="E113" s="119"/>
      <c r="F113" s="113"/>
      <c r="G113" s="131"/>
    </row>
    <row r="114" spans="1:7" ht="35.450000000000003" customHeight="1">
      <c r="A114" s="179"/>
      <c r="B114" s="178" t="s">
        <v>362</v>
      </c>
      <c r="C114" s="178" t="s">
        <v>363</v>
      </c>
      <c r="D114" s="136"/>
      <c r="E114" s="119"/>
      <c r="F114" s="113"/>
      <c r="G114" s="131"/>
    </row>
    <row r="115" spans="1:7" ht="19.149999999999999" customHeight="1">
      <c r="A115" s="179"/>
      <c r="B115" s="178" t="s">
        <v>364</v>
      </c>
      <c r="C115" s="178" t="s">
        <v>365</v>
      </c>
      <c r="D115" s="136"/>
      <c r="E115" s="119"/>
      <c r="F115" s="113"/>
      <c r="G115" s="131"/>
    </row>
    <row r="116" spans="1:7" ht="63.75">
      <c r="A116" s="179">
        <v>7</v>
      </c>
      <c r="B116" s="178" t="s">
        <v>366</v>
      </c>
      <c r="C116" s="178" t="s">
        <v>367</v>
      </c>
      <c r="D116" s="136" t="s">
        <v>257</v>
      </c>
      <c r="E116" s="119">
        <f>E109*5+10</f>
        <v>105</v>
      </c>
      <c r="F116" s="113"/>
      <c r="G116" s="131">
        <f t="shared" ref="G116:G120" si="8">F116*E116</f>
        <v>0</v>
      </c>
    </row>
    <row r="117" spans="1:7" ht="72.599999999999994" customHeight="1">
      <c r="A117" s="179">
        <v>8</v>
      </c>
      <c r="B117" s="178" t="s">
        <v>368</v>
      </c>
      <c r="C117" s="178" t="s">
        <v>369</v>
      </c>
      <c r="D117" s="136" t="s">
        <v>257</v>
      </c>
      <c r="E117" s="119">
        <v>100</v>
      </c>
      <c r="F117" s="113"/>
      <c r="G117" s="131">
        <f t="shared" si="8"/>
        <v>0</v>
      </c>
    </row>
    <row r="118" spans="1:7" ht="38.25">
      <c r="A118" s="179">
        <v>9</v>
      </c>
      <c r="B118" s="178" t="s">
        <v>370</v>
      </c>
      <c r="C118" s="178" t="s">
        <v>371</v>
      </c>
      <c r="D118" s="154" t="s">
        <v>372</v>
      </c>
      <c r="E118" s="112">
        <v>1</v>
      </c>
      <c r="F118" s="113"/>
      <c r="G118" s="131">
        <f t="shared" si="8"/>
        <v>0</v>
      </c>
    </row>
    <row r="119" spans="1:7" ht="38.25">
      <c r="A119" s="179">
        <v>10</v>
      </c>
      <c r="B119" s="178" t="s">
        <v>373</v>
      </c>
      <c r="C119" s="178" t="s">
        <v>374</v>
      </c>
      <c r="D119" s="154" t="s">
        <v>372</v>
      </c>
      <c r="E119" s="119">
        <v>1</v>
      </c>
      <c r="F119" s="113"/>
      <c r="G119" s="131">
        <f t="shared" si="8"/>
        <v>0</v>
      </c>
    </row>
    <row r="120" spans="1:7" ht="85.9" customHeight="1">
      <c r="A120" s="179">
        <v>11</v>
      </c>
      <c r="B120" s="178" t="s">
        <v>375</v>
      </c>
      <c r="C120" s="178" t="s">
        <v>376</v>
      </c>
      <c r="D120" s="154" t="s">
        <v>372</v>
      </c>
      <c r="E120" s="112">
        <v>1</v>
      </c>
      <c r="F120" s="113"/>
      <c r="G120" s="131">
        <f t="shared" si="8"/>
        <v>0</v>
      </c>
    </row>
    <row r="121" spans="1:7">
      <c r="A121" s="179"/>
      <c r="B121" s="181"/>
      <c r="C121" s="181"/>
      <c r="D121" s="182"/>
      <c r="E121" s="183"/>
      <c r="F121" s="184"/>
      <c r="G121" s="185"/>
    </row>
    <row r="122" spans="1:7">
      <c r="A122" s="179"/>
      <c r="B122" s="186" t="s">
        <v>377</v>
      </c>
      <c r="C122" s="186" t="s">
        <v>378</v>
      </c>
      <c r="D122" s="130"/>
      <c r="E122" s="112"/>
      <c r="F122" s="113"/>
      <c r="G122" s="131">
        <f>SUM(G106:G121)</f>
        <v>0</v>
      </c>
    </row>
    <row r="123" spans="1:7">
      <c r="A123" s="179"/>
      <c r="B123" s="181"/>
      <c r="C123" s="181"/>
      <c r="D123" s="182"/>
      <c r="E123" s="183"/>
      <c r="F123" s="184"/>
      <c r="G123" s="185"/>
    </row>
    <row r="124" spans="1:7" ht="25.5">
      <c r="A124" s="140"/>
      <c r="B124" s="141" t="s">
        <v>379</v>
      </c>
      <c r="C124" s="141" t="s">
        <v>380</v>
      </c>
      <c r="D124" s="130"/>
      <c r="E124" s="112"/>
      <c r="F124" s="113"/>
      <c r="G124" s="131"/>
    </row>
    <row r="125" spans="1:7">
      <c r="A125" s="140"/>
      <c r="B125" s="141"/>
      <c r="C125" s="141"/>
      <c r="D125" s="130"/>
      <c r="E125" s="112"/>
      <c r="F125" s="113"/>
      <c r="G125" s="131"/>
    </row>
    <row r="126" spans="1:7" ht="25.5" customHeight="1">
      <c r="A126" s="158"/>
      <c r="B126" s="135" t="s">
        <v>317</v>
      </c>
      <c r="C126" s="135" t="s">
        <v>289</v>
      </c>
      <c r="D126" s="159"/>
      <c r="E126" s="161"/>
      <c r="F126" s="131"/>
      <c r="G126" s="131"/>
    </row>
    <row r="127" spans="1:7" ht="39.6" hidden="1" customHeight="1">
      <c r="A127" s="158">
        <v>1</v>
      </c>
      <c r="B127" s="187" t="s">
        <v>381</v>
      </c>
      <c r="C127" s="187"/>
      <c r="D127" s="188" t="s">
        <v>32</v>
      </c>
      <c r="E127" s="189">
        <v>1</v>
      </c>
      <c r="F127" s="190"/>
      <c r="G127" s="190">
        <f t="shared" ref="G127:G131" si="9">F127*E127</f>
        <v>0</v>
      </c>
    </row>
    <row r="128" spans="1:7" ht="91.15" customHeight="1">
      <c r="A128" s="140">
        <v>1</v>
      </c>
      <c r="B128" s="139" t="s">
        <v>382</v>
      </c>
      <c r="C128" s="139" t="s">
        <v>383</v>
      </c>
      <c r="D128" s="154" t="s">
        <v>244</v>
      </c>
      <c r="E128" s="112">
        <v>1</v>
      </c>
      <c r="F128" s="113"/>
      <c r="G128" s="121">
        <f>F128*E128</f>
        <v>0</v>
      </c>
    </row>
    <row r="129" spans="1:7" ht="38.25">
      <c r="A129" s="140">
        <v>2</v>
      </c>
      <c r="B129" s="139" t="s">
        <v>384</v>
      </c>
      <c r="C129" s="139"/>
      <c r="D129" s="154" t="s">
        <v>244</v>
      </c>
      <c r="E129" s="112">
        <v>3</v>
      </c>
      <c r="F129" s="113"/>
      <c r="G129" s="121">
        <f>F129*E129</f>
        <v>0</v>
      </c>
    </row>
    <row r="130" spans="1:7" ht="47.45" customHeight="1">
      <c r="A130" s="140">
        <v>3</v>
      </c>
      <c r="B130" s="139" t="s">
        <v>385</v>
      </c>
      <c r="C130" s="139" t="s">
        <v>386</v>
      </c>
      <c r="D130" s="154" t="s">
        <v>244</v>
      </c>
      <c r="E130" s="112">
        <v>3</v>
      </c>
      <c r="F130" s="113"/>
      <c r="G130" s="121">
        <f t="shared" si="9"/>
        <v>0</v>
      </c>
    </row>
    <row r="131" spans="1:7" ht="51">
      <c r="A131" s="140">
        <v>4</v>
      </c>
      <c r="B131" s="139" t="s">
        <v>387</v>
      </c>
      <c r="C131" s="139" t="s">
        <v>388</v>
      </c>
      <c r="D131" s="154" t="s">
        <v>244</v>
      </c>
      <c r="E131" s="112">
        <v>22</v>
      </c>
      <c r="F131" s="113"/>
      <c r="G131" s="121">
        <f t="shared" si="9"/>
        <v>0</v>
      </c>
    </row>
    <row r="132" spans="1:7" ht="33" customHeight="1">
      <c r="A132" s="140"/>
      <c r="B132" s="139" t="s">
        <v>389</v>
      </c>
      <c r="C132" s="139" t="s">
        <v>390</v>
      </c>
      <c r="D132" s="130"/>
      <c r="E132" s="112"/>
      <c r="F132" s="113"/>
      <c r="G132" s="121"/>
    </row>
    <row r="133" spans="1:7" ht="18" customHeight="1">
      <c r="A133" s="140">
        <v>5</v>
      </c>
      <c r="B133" s="191" t="s">
        <v>391</v>
      </c>
      <c r="C133" s="191" t="s">
        <v>392</v>
      </c>
      <c r="D133" s="130" t="s">
        <v>15</v>
      </c>
      <c r="E133" s="112">
        <f>E131*3*15-80</f>
        <v>910</v>
      </c>
      <c r="F133" s="113"/>
      <c r="G133" s="121">
        <f>F133*E133</f>
        <v>0</v>
      </c>
    </row>
    <row r="134" spans="1:7" ht="88.15" customHeight="1">
      <c r="A134" s="140"/>
      <c r="B134" s="135" t="s">
        <v>296</v>
      </c>
      <c r="C134" s="135" t="s">
        <v>297</v>
      </c>
      <c r="D134" s="130"/>
      <c r="E134" s="112"/>
      <c r="F134" s="113"/>
      <c r="G134" s="131"/>
    </row>
    <row r="135" spans="1:7" ht="57" customHeight="1">
      <c r="A135" s="140">
        <v>6</v>
      </c>
      <c r="B135" s="135" t="s">
        <v>298</v>
      </c>
      <c r="C135" s="135" t="s">
        <v>299</v>
      </c>
      <c r="D135" s="130" t="s">
        <v>15</v>
      </c>
      <c r="E135" s="119">
        <v>25</v>
      </c>
      <c r="F135" s="113"/>
      <c r="G135" s="131">
        <f t="shared" ref="G135:G137" si="10">F135*E135</f>
        <v>0</v>
      </c>
    </row>
    <row r="136" spans="1:7" ht="77.45" customHeight="1">
      <c r="A136" s="140">
        <v>7</v>
      </c>
      <c r="B136" s="135" t="s">
        <v>300</v>
      </c>
      <c r="C136" s="135" t="s">
        <v>301</v>
      </c>
      <c r="D136" s="130" t="s">
        <v>15</v>
      </c>
      <c r="E136" s="119">
        <v>20</v>
      </c>
      <c r="F136" s="113"/>
      <c r="G136" s="131">
        <f t="shared" si="10"/>
        <v>0</v>
      </c>
    </row>
    <row r="137" spans="1:7" ht="66.599999999999994" customHeight="1">
      <c r="A137" s="140">
        <v>8</v>
      </c>
      <c r="B137" s="135" t="s">
        <v>302</v>
      </c>
      <c r="C137" s="135" t="s">
        <v>303</v>
      </c>
      <c r="D137" s="130" t="s">
        <v>15</v>
      </c>
      <c r="E137" s="119">
        <v>100</v>
      </c>
      <c r="F137" s="113"/>
      <c r="G137" s="131">
        <f t="shared" si="10"/>
        <v>0</v>
      </c>
    </row>
    <row r="138" spans="1:7" ht="38.25">
      <c r="A138" s="140">
        <v>9</v>
      </c>
      <c r="B138" s="139" t="s">
        <v>393</v>
      </c>
      <c r="C138" s="139" t="s">
        <v>394</v>
      </c>
      <c r="D138" s="154" t="s">
        <v>115</v>
      </c>
      <c r="E138" s="112">
        <v>1</v>
      </c>
      <c r="F138" s="120"/>
      <c r="G138" s="121">
        <f>F138*E138</f>
        <v>0</v>
      </c>
    </row>
    <row r="139" spans="1:7" ht="52.15" customHeight="1">
      <c r="A139" s="140"/>
      <c r="B139" s="135" t="s">
        <v>395</v>
      </c>
      <c r="C139" s="135" t="s">
        <v>396</v>
      </c>
      <c r="D139" s="159"/>
      <c r="E139" s="161"/>
      <c r="F139" s="131"/>
      <c r="G139" s="131"/>
    </row>
    <row r="140" spans="1:7" ht="51">
      <c r="A140" s="140">
        <v>10</v>
      </c>
      <c r="B140" s="139" t="s">
        <v>397</v>
      </c>
      <c r="C140" s="139" t="s">
        <v>398</v>
      </c>
      <c r="D140" s="154" t="s">
        <v>115</v>
      </c>
      <c r="E140" s="112">
        <v>1</v>
      </c>
      <c r="F140" s="120"/>
      <c r="G140" s="121">
        <f>F140*E140</f>
        <v>0</v>
      </c>
    </row>
    <row r="141" spans="1:7">
      <c r="A141" s="140"/>
      <c r="B141" s="135"/>
      <c r="C141" s="135"/>
      <c r="D141" s="130"/>
      <c r="E141" s="112"/>
      <c r="F141" s="113"/>
      <c r="G141" s="131"/>
    </row>
    <row r="142" spans="1:7">
      <c r="A142" s="140"/>
      <c r="B142" s="141" t="s">
        <v>399</v>
      </c>
      <c r="C142" s="141" t="s">
        <v>400</v>
      </c>
      <c r="D142" s="130"/>
      <c r="E142" s="119"/>
      <c r="F142" s="120"/>
      <c r="G142" s="121">
        <f>SUM(G127:G141)</f>
        <v>0</v>
      </c>
    </row>
    <row r="143" spans="1:7" ht="18.600000000000001" customHeight="1">
      <c r="A143" s="140"/>
      <c r="B143" s="135"/>
      <c r="C143" s="135"/>
      <c r="D143" s="130"/>
      <c r="E143" s="112"/>
      <c r="F143" s="113"/>
      <c r="G143" s="131"/>
    </row>
    <row r="144" spans="1:7" ht="25.15" customHeight="1">
      <c r="A144" s="140"/>
      <c r="B144" s="141" t="s">
        <v>401</v>
      </c>
      <c r="C144" s="141" t="s">
        <v>402</v>
      </c>
      <c r="D144" s="129"/>
      <c r="E144" s="129"/>
      <c r="F144" s="129"/>
      <c r="G144" s="129"/>
    </row>
    <row r="145" spans="1:7" ht="25.15" customHeight="1">
      <c r="A145" s="140"/>
      <c r="B145" s="141"/>
      <c r="C145" s="141"/>
      <c r="D145" s="130"/>
      <c r="E145" s="113"/>
      <c r="F145" s="113"/>
      <c r="G145" s="113"/>
    </row>
    <row r="146" spans="1:7" ht="25.15" customHeight="1">
      <c r="A146" s="140"/>
      <c r="B146" s="135" t="s">
        <v>403</v>
      </c>
      <c r="C146" s="135" t="s">
        <v>289</v>
      </c>
      <c r="D146" s="130"/>
      <c r="E146" s="113"/>
      <c r="F146" s="113"/>
      <c r="G146" s="113"/>
    </row>
    <row r="147" spans="1:7" ht="73.150000000000006" customHeight="1">
      <c r="A147" s="140">
        <v>1</v>
      </c>
      <c r="B147" s="139" t="s">
        <v>404</v>
      </c>
      <c r="C147" s="139" t="s">
        <v>405</v>
      </c>
      <c r="D147" s="192" t="s">
        <v>244</v>
      </c>
      <c r="E147" s="113">
        <v>2</v>
      </c>
      <c r="F147" s="113"/>
      <c r="G147" s="193">
        <f t="shared" ref="G147:G153" si="11">F147*E147</f>
        <v>0</v>
      </c>
    </row>
    <row r="148" spans="1:7" ht="31.15" customHeight="1">
      <c r="A148" s="140">
        <v>2</v>
      </c>
      <c r="B148" s="191" t="s">
        <v>406</v>
      </c>
      <c r="C148" s="191" t="s">
        <v>407</v>
      </c>
      <c r="D148" s="192" t="s">
        <v>244</v>
      </c>
      <c r="E148" s="113">
        <v>1</v>
      </c>
      <c r="F148" s="113"/>
      <c r="G148" s="193">
        <f t="shared" si="11"/>
        <v>0</v>
      </c>
    </row>
    <row r="149" spans="1:7" ht="61.9" customHeight="1">
      <c r="A149" s="140">
        <v>3</v>
      </c>
      <c r="B149" s="191" t="s">
        <v>408</v>
      </c>
      <c r="C149" s="191" t="s">
        <v>409</v>
      </c>
      <c r="D149" s="192" t="s">
        <v>244</v>
      </c>
      <c r="E149" s="113">
        <v>1</v>
      </c>
      <c r="F149" s="113"/>
      <c r="G149" s="193">
        <f t="shared" si="11"/>
        <v>0</v>
      </c>
    </row>
    <row r="150" spans="1:7" ht="42" customHeight="1">
      <c r="A150" s="140">
        <v>4</v>
      </c>
      <c r="B150" s="139" t="s">
        <v>410</v>
      </c>
      <c r="C150" s="139" t="s">
        <v>411</v>
      </c>
      <c r="D150" s="192" t="s">
        <v>244</v>
      </c>
      <c r="E150" s="113">
        <v>1</v>
      </c>
      <c r="F150" s="113"/>
      <c r="G150" s="194">
        <f t="shared" si="11"/>
        <v>0</v>
      </c>
    </row>
    <row r="151" spans="1:7" ht="25.15" customHeight="1">
      <c r="A151" s="140">
        <v>5</v>
      </c>
      <c r="B151" s="195" t="s">
        <v>412</v>
      </c>
      <c r="C151" s="195" t="s">
        <v>392</v>
      </c>
      <c r="D151" s="130" t="s">
        <v>257</v>
      </c>
      <c r="E151" s="113">
        <v>30</v>
      </c>
      <c r="F151" s="113"/>
      <c r="G151" s="193">
        <f t="shared" si="11"/>
        <v>0</v>
      </c>
    </row>
    <row r="152" spans="1:7" ht="47.45" customHeight="1">
      <c r="A152" s="140">
        <v>6</v>
      </c>
      <c r="B152" s="195" t="s">
        <v>413</v>
      </c>
      <c r="C152" s="195" t="s">
        <v>414</v>
      </c>
      <c r="D152" s="130" t="s">
        <v>257</v>
      </c>
      <c r="E152" s="113">
        <v>30</v>
      </c>
      <c r="F152" s="113"/>
      <c r="G152" s="193">
        <f t="shared" si="11"/>
        <v>0</v>
      </c>
    </row>
    <row r="153" spans="1:7" ht="37.15" customHeight="1">
      <c r="A153" s="140">
        <v>7</v>
      </c>
      <c r="B153" s="135" t="s">
        <v>415</v>
      </c>
      <c r="C153" s="162" t="s">
        <v>416</v>
      </c>
      <c r="D153" s="192" t="s">
        <v>244</v>
      </c>
      <c r="E153" s="120">
        <v>1</v>
      </c>
      <c r="F153" s="113"/>
      <c r="G153" s="131">
        <f t="shared" si="11"/>
        <v>0</v>
      </c>
    </row>
    <row r="154" spans="1:7" ht="25.15" customHeight="1">
      <c r="A154" s="196"/>
      <c r="B154" s="195"/>
      <c r="C154" s="195"/>
      <c r="D154" s="130"/>
      <c r="E154" s="113"/>
      <c r="F154" s="113"/>
      <c r="G154" s="113"/>
    </row>
    <row r="155" spans="1:7" ht="25.15" customHeight="1">
      <c r="A155" s="140"/>
      <c r="B155" s="141" t="s">
        <v>417</v>
      </c>
      <c r="C155" s="141" t="s">
        <v>418</v>
      </c>
      <c r="D155" s="130"/>
      <c r="E155" s="113"/>
      <c r="F155" s="113"/>
      <c r="G155" s="131">
        <f>SUM(G147:G153)</f>
        <v>0</v>
      </c>
    </row>
    <row r="156" spans="1:7" ht="15.6" customHeight="1">
      <c r="A156" s="140"/>
      <c r="B156" s="135"/>
      <c r="C156" s="135"/>
      <c r="D156" s="130"/>
      <c r="E156" s="112"/>
      <c r="F156" s="113"/>
      <c r="G156" s="131"/>
    </row>
    <row r="157" spans="1:7" ht="15.6" customHeight="1">
      <c r="A157" s="116"/>
      <c r="B157" s="197"/>
      <c r="C157" s="197"/>
      <c r="D157" s="182"/>
      <c r="E157" s="183"/>
      <c r="F157" s="184"/>
      <c r="G157" s="185"/>
    </row>
    <row r="158" spans="1:7">
      <c r="A158" s="116"/>
      <c r="B158" s="141" t="s">
        <v>419</v>
      </c>
      <c r="C158" s="141"/>
      <c r="D158" s="130"/>
      <c r="E158" s="112"/>
      <c r="F158" s="113"/>
      <c r="G158" s="131"/>
    </row>
    <row r="159" spans="1:7">
      <c r="A159" s="116"/>
      <c r="B159" s="141"/>
      <c r="C159" s="141"/>
      <c r="D159" s="130"/>
      <c r="E159" s="112"/>
      <c r="F159" s="113"/>
      <c r="G159" s="131"/>
    </row>
    <row r="160" spans="1:7" ht="16.149999999999999" customHeight="1">
      <c r="A160" s="116"/>
      <c r="B160" s="132" t="s">
        <v>232</v>
      </c>
      <c r="C160" s="132" t="str">
        <f>C9</f>
        <v>A.1 Distribution boards</v>
      </c>
      <c r="D160" s="136"/>
      <c r="E160" s="112"/>
      <c r="F160" s="113"/>
      <c r="G160" s="131">
        <f>G41</f>
        <v>0</v>
      </c>
    </row>
    <row r="161" spans="1:8">
      <c r="A161" s="116"/>
      <c r="B161" s="141" t="s">
        <v>420</v>
      </c>
      <c r="C161" s="141" t="str">
        <f>C43</f>
        <v>A.2.El. Lighting installations</v>
      </c>
      <c r="D161" s="136"/>
      <c r="E161" s="112"/>
      <c r="F161" s="113"/>
      <c r="G161" s="131">
        <f>G57</f>
        <v>0</v>
      </c>
    </row>
    <row r="162" spans="1:8">
      <c r="A162" s="116"/>
      <c r="B162" s="141" t="s">
        <v>286</v>
      </c>
      <c r="C162" s="132" t="str">
        <f>C59</f>
        <v xml:space="preserve">A3.El. installation of a power supply </v>
      </c>
      <c r="D162" s="136"/>
      <c r="E162" s="112"/>
      <c r="F162" s="113"/>
      <c r="G162" s="131">
        <f>G72</f>
        <v>0</v>
      </c>
    </row>
    <row r="163" spans="1:8" ht="16.149999999999999" customHeight="1">
      <c r="A163" s="116"/>
      <c r="B163" s="141" t="s">
        <v>421</v>
      </c>
      <c r="C163" s="132" t="str">
        <f>C74</f>
        <v xml:space="preserve">
A.4 Electrical installations for mehanical equipment</v>
      </c>
      <c r="D163" s="136"/>
      <c r="E163" s="112"/>
      <c r="F163" s="113"/>
      <c r="G163" s="131">
        <f>G77</f>
        <v>0</v>
      </c>
    </row>
    <row r="164" spans="1:8" ht="25.5">
      <c r="A164" s="116"/>
      <c r="B164" s="141" t="str">
        <f>B79</f>
        <v>A.5 Заштита од напон на допир и заземјување</v>
      </c>
      <c r="C164" s="141" t="str">
        <f>C79</f>
        <v>A.5 Protection and grounding</v>
      </c>
      <c r="D164" s="136"/>
      <c r="E164" s="112"/>
      <c r="F164" s="113"/>
      <c r="G164" s="131">
        <f>G88</f>
        <v>0</v>
      </c>
    </row>
    <row r="165" spans="1:8">
      <c r="A165" s="116"/>
      <c r="B165" s="141" t="s">
        <v>330</v>
      </c>
      <c r="C165" s="141" t="str">
        <f>C92</f>
        <v>B.1 Panic light installation</v>
      </c>
      <c r="D165" s="136"/>
      <c r="E165" s="112"/>
      <c r="F165" s="113"/>
      <c r="G165" s="131">
        <f>G101</f>
        <v>0</v>
      </c>
    </row>
    <row r="166" spans="1:8">
      <c r="A166" s="116"/>
      <c r="B166" s="141" t="s">
        <v>346</v>
      </c>
      <c r="C166" s="141" t="str">
        <f>C103</f>
        <v>B.2 Installation for fire alarm</v>
      </c>
      <c r="D166" s="136"/>
      <c r="E166" s="112"/>
      <c r="F166" s="113"/>
      <c r="G166" s="131">
        <f>G122</f>
        <v>0</v>
      </c>
    </row>
    <row r="167" spans="1:8" ht="13.9" customHeight="1">
      <c r="A167" s="116"/>
      <c r="B167" s="141" t="str">
        <f>B124</f>
        <v>Б.3 Компјутерска и телефонска инсталација</v>
      </c>
      <c r="C167" s="141" t="str">
        <f>C124</f>
        <v>B.3 Computer and telephone installation</v>
      </c>
      <c r="D167" s="136"/>
      <c r="E167" s="112"/>
      <c r="F167" s="113"/>
      <c r="G167" s="131">
        <f>G142</f>
        <v>0</v>
      </c>
    </row>
    <row r="168" spans="1:8" ht="13.9" customHeight="1">
      <c r="A168" s="116"/>
      <c r="B168" s="141" t="str">
        <f>B144</f>
        <v>Б.4 Мониторинг систем - камери</v>
      </c>
      <c r="C168" s="141"/>
      <c r="D168" s="136"/>
      <c r="E168" s="112"/>
      <c r="F168" s="113"/>
      <c r="G168" s="131">
        <f>G155</f>
        <v>0</v>
      </c>
    </row>
    <row r="169" spans="1:8">
      <c r="A169" s="116"/>
      <c r="B169" s="135"/>
      <c r="C169" s="135"/>
      <c r="D169" s="130"/>
      <c r="E169" s="112"/>
      <c r="F169" s="113"/>
      <c r="G169" s="131"/>
    </row>
    <row r="170" spans="1:8">
      <c r="A170" s="116"/>
      <c r="B170" s="141" t="s">
        <v>598</v>
      </c>
      <c r="C170" s="141" t="s">
        <v>422</v>
      </c>
      <c r="D170" s="136"/>
      <c r="E170" s="112"/>
      <c r="F170" s="113"/>
      <c r="G170" s="131">
        <f>SUM(G160:G168)</f>
        <v>0</v>
      </c>
      <c r="H170" s="205"/>
    </row>
    <row r="171" spans="1:8" hidden="1">
      <c r="A171" s="116"/>
      <c r="B171" s="199" t="s">
        <v>423</v>
      </c>
      <c r="C171" s="199" t="s">
        <v>424</v>
      </c>
      <c r="D171" s="200"/>
      <c r="E171" s="201"/>
      <c r="F171" s="202"/>
      <c r="G171" s="203">
        <f>G170/61.5</f>
        <v>0</v>
      </c>
    </row>
    <row r="172" spans="1:8">
      <c r="A172" s="198"/>
      <c r="B172" s="207"/>
      <c r="C172" s="207"/>
    </row>
    <row r="173" spans="1:8">
      <c r="A173" s="198"/>
      <c r="B173" s="207"/>
      <c r="C173" s="207"/>
    </row>
    <row r="174" spans="1:8">
      <c r="A174" s="198"/>
      <c r="B174" s="115"/>
      <c r="C174" s="115"/>
    </row>
    <row r="175" spans="1:8">
      <c r="A175" s="198"/>
      <c r="B175" s="115"/>
      <c r="C175" s="115"/>
    </row>
    <row r="176" spans="1:8">
      <c r="A176" s="198"/>
      <c r="B176" s="115"/>
      <c r="C176" s="115"/>
    </row>
    <row r="177" spans="1:3">
      <c r="A177" s="198"/>
      <c r="B177" s="115"/>
      <c r="C177" s="115"/>
    </row>
    <row r="178" spans="1:3">
      <c r="A178" s="198"/>
      <c r="B178" s="115"/>
      <c r="C178" s="115"/>
    </row>
    <row r="179" spans="1:3">
      <c r="A179" s="198"/>
      <c r="B179" s="115"/>
      <c r="C179" s="115"/>
    </row>
    <row r="180" spans="1:3">
      <c r="A180" s="198"/>
      <c r="B180" s="115"/>
      <c r="C180" s="115"/>
    </row>
    <row r="181" spans="1:3">
      <c r="A181" s="198"/>
      <c r="B181" s="115"/>
      <c r="C181" s="115"/>
    </row>
    <row r="182" spans="1:3">
      <c r="A182" s="198"/>
      <c r="B182" s="115"/>
      <c r="C182" s="115"/>
    </row>
    <row r="183" spans="1:3">
      <c r="A183" s="198"/>
      <c r="B183" s="115"/>
      <c r="C183" s="115"/>
    </row>
    <row r="184" spans="1:3">
      <c r="A184" s="198"/>
      <c r="B184" s="115"/>
      <c r="C184" s="115"/>
    </row>
    <row r="185" spans="1:3">
      <c r="A185" s="198"/>
      <c r="B185" s="115"/>
      <c r="C185" s="115"/>
    </row>
    <row r="186" spans="1:3">
      <c r="A186" s="198"/>
      <c r="B186" s="115"/>
      <c r="C186" s="115"/>
    </row>
    <row r="187" spans="1:3">
      <c r="A187" s="198"/>
      <c r="B187" s="115"/>
      <c r="C187" s="115"/>
    </row>
    <row r="188" spans="1:3">
      <c r="A188" s="198"/>
      <c r="B188" s="115"/>
      <c r="C188" s="115"/>
    </row>
    <row r="189" spans="1:3">
      <c r="A189" s="198"/>
      <c r="B189" s="115"/>
      <c r="C189" s="115"/>
    </row>
    <row r="190" spans="1:3">
      <c r="A190" s="198"/>
      <c r="B190" s="115"/>
      <c r="C190" s="115"/>
    </row>
    <row r="191" spans="1:3">
      <c r="A191" s="198"/>
      <c r="B191" s="115"/>
      <c r="C191" s="115"/>
    </row>
    <row r="192" spans="1:3">
      <c r="A192" s="198"/>
      <c r="B192" s="115"/>
      <c r="C192" s="115"/>
    </row>
    <row r="193" spans="1:3">
      <c r="A193" s="198"/>
      <c r="B193" s="115"/>
      <c r="C193" s="115"/>
    </row>
    <row r="194" spans="1:3">
      <c r="A194" s="198"/>
      <c r="B194" s="115"/>
      <c r="C194" s="115"/>
    </row>
    <row r="195" spans="1:3">
      <c r="A195" s="198"/>
      <c r="B195" s="115"/>
      <c r="C195" s="115"/>
    </row>
    <row r="196" spans="1:3">
      <c r="A196" s="198"/>
      <c r="B196" s="115"/>
      <c r="C196" s="115"/>
    </row>
    <row r="197" spans="1:3">
      <c r="A197" s="198"/>
      <c r="B197" s="115"/>
      <c r="C197" s="115"/>
    </row>
    <row r="198" spans="1:3">
      <c r="A198" s="198"/>
      <c r="B198" s="115"/>
      <c r="C198" s="115"/>
    </row>
    <row r="199" spans="1:3">
      <c r="A199" s="198"/>
      <c r="B199" s="115"/>
      <c r="C199" s="115"/>
    </row>
    <row r="200" spans="1:3">
      <c r="A200" s="198"/>
      <c r="B200" s="115"/>
      <c r="C200" s="115"/>
    </row>
    <row r="201" spans="1:3">
      <c r="A201" s="198"/>
      <c r="B201" s="115"/>
      <c r="C201" s="115"/>
    </row>
    <row r="202" spans="1:3">
      <c r="A202" s="198"/>
      <c r="B202" s="115"/>
      <c r="C202" s="115"/>
    </row>
    <row r="203" spans="1:3">
      <c r="A203" s="198"/>
      <c r="B203" s="115"/>
      <c r="C203" s="115"/>
    </row>
    <row r="204" spans="1:3">
      <c r="A204" s="198"/>
      <c r="B204" s="115"/>
      <c r="C204" s="115"/>
    </row>
    <row r="205" spans="1:3">
      <c r="A205" s="198"/>
      <c r="B205" s="115"/>
      <c r="C205" s="115"/>
    </row>
    <row r="206" spans="1:3">
      <c r="A206" s="198"/>
      <c r="B206" s="115"/>
      <c r="C206" s="115"/>
    </row>
    <row r="207" spans="1:3">
      <c r="A207" s="198"/>
      <c r="B207" s="115"/>
      <c r="C207" s="115"/>
    </row>
    <row r="208" spans="1:3">
      <c r="A208" s="198"/>
      <c r="B208" s="115"/>
      <c r="C208" s="115"/>
    </row>
    <row r="209" spans="1:3">
      <c r="A209" s="198"/>
      <c r="B209" s="115"/>
      <c r="C209" s="115"/>
    </row>
    <row r="210" spans="1:3">
      <c r="A210" s="198"/>
      <c r="B210" s="115"/>
      <c r="C210" s="115"/>
    </row>
    <row r="211" spans="1:3">
      <c r="A211" s="198"/>
      <c r="B211" s="115"/>
      <c r="C211" s="115"/>
    </row>
    <row r="212" spans="1:3">
      <c r="A212" s="198"/>
      <c r="B212" s="115"/>
      <c r="C212" s="115"/>
    </row>
    <row r="213" spans="1:3">
      <c r="A213" s="198"/>
      <c r="B213" s="115"/>
      <c r="C213" s="115"/>
    </row>
    <row r="214" spans="1:3">
      <c r="A214" s="198"/>
      <c r="B214" s="115"/>
      <c r="C214" s="115"/>
    </row>
    <row r="215" spans="1:3">
      <c r="A215" s="198"/>
      <c r="B215" s="115"/>
      <c r="C215" s="115"/>
    </row>
    <row r="216" spans="1:3">
      <c r="A216" s="198"/>
      <c r="B216" s="115"/>
      <c r="C216" s="115"/>
    </row>
    <row r="217" spans="1:3">
      <c r="A217" s="198"/>
      <c r="B217" s="115"/>
      <c r="C217" s="115"/>
    </row>
    <row r="218" spans="1:3">
      <c r="A218" s="198"/>
      <c r="B218" s="115"/>
      <c r="C218" s="115"/>
    </row>
    <row r="219" spans="1:3">
      <c r="A219" s="198"/>
      <c r="B219" s="115"/>
      <c r="C219" s="115"/>
    </row>
    <row r="220" spans="1:3">
      <c r="A220" s="198"/>
      <c r="B220" s="115"/>
      <c r="C220" s="115"/>
    </row>
    <row r="221" spans="1:3">
      <c r="A221" s="198"/>
      <c r="B221" s="115"/>
      <c r="C221" s="115"/>
    </row>
    <row r="222" spans="1:3">
      <c r="A222" s="198"/>
      <c r="B222" s="115"/>
      <c r="C222" s="115"/>
    </row>
    <row r="223" spans="1:3">
      <c r="A223" s="198"/>
      <c r="B223" s="115"/>
      <c r="C223" s="115"/>
    </row>
    <row r="224" spans="1:3">
      <c r="A224" s="198"/>
      <c r="B224" s="115"/>
      <c r="C224" s="115"/>
    </row>
    <row r="225" spans="1:3">
      <c r="A225" s="198"/>
      <c r="B225" s="115"/>
      <c r="C225" s="115"/>
    </row>
    <row r="226" spans="1:3">
      <c r="A226" s="198"/>
      <c r="B226" s="115"/>
      <c r="C226" s="115"/>
    </row>
    <row r="227" spans="1:3">
      <c r="A227" s="198"/>
      <c r="B227" s="115"/>
      <c r="C227" s="115"/>
    </row>
    <row r="228" spans="1:3">
      <c r="A228" s="198"/>
      <c r="B228" s="115"/>
      <c r="C228" s="115"/>
    </row>
    <row r="229" spans="1:3">
      <c r="A229" s="198"/>
      <c r="B229" s="115"/>
      <c r="C229" s="115"/>
    </row>
    <row r="230" spans="1:3">
      <c r="A230" s="198"/>
      <c r="B230" s="115"/>
      <c r="C230" s="115"/>
    </row>
    <row r="231" spans="1:3">
      <c r="A231" s="198"/>
      <c r="B231" s="115"/>
      <c r="C231" s="115"/>
    </row>
    <row r="232" spans="1:3">
      <c r="A232" s="198"/>
      <c r="B232" s="115"/>
      <c r="C232" s="115"/>
    </row>
    <row r="233" spans="1:3">
      <c r="A233" s="198"/>
      <c r="B233" s="115"/>
      <c r="C233" s="115"/>
    </row>
    <row r="234" spans="1:3">
      <c r="A234" s="198"/>
      <c r="B234" s="115"/>
      <c r="C234" s="115"/>
    </row>
    <row r="235" spans="1:3">
      <c r="A235" s="198"/>
      <c r="B235" s="115"/>
      <c r="C235" s="115"/>
    </row>
    <row r="236" spans="1:3">
      <c r="A236" s="198"/>
      <c r="B236" s="115"/>
      <c r="C236" s="115"/>
    </row>
    <row r="237" spans="1:3">
      <c r="A237" s="198"/>
      <c r="B237" s="115"/>
      <c r="C237" s="115"/>
    </row>
    <row r="238" spans="1:3">
      <c r="A238" s="198"/>
      <c r="B238" s="115"/>
      <c r="C238" s="115"/>
    </row>
    <row r="239" spans="1:3">
      <c r="A239" s="198"/>
      <c r="B239" s="115"/>
      <c r="C239" s="115"/>
    </row>
    <row r="240" spans="1:3">
      <c r="A240" s="198"/>
      <c r="B240" s="115"/>
      <c r="C240" s="115"/>
    </row>
    <row r="241" spans="1:3">
      <c r="A241" s="198"/>
      <c r="B241" s="115"/>
      <c r="C241" s="115"/>
    </row>
    <row r="242" spans="1:3">
      <c r="A242" s="198"/>
      <c r="B242" s="115"/>
      <c r="C242" s="115"/>
    </row>
    <row r="243" spans="1:3">
      <c r="A243" s="198"/>
      <c r="B243" s="115"/>
      <c r="C243" s="115"/>
    </row>
    <row r="244" spans="1:3">
      <c r="A244" s="198"/>
      <c r="B244" s="115"/>
      <c r="C244" s="115"/>
    </row>
    <row r="245" spans="1:3">
      <c r="A245" s="198"/>
      <c r="B245" s="115"/>
      <c r="C245" s="115"/>
    </row>
    <row r="246" spans="1:3">
      <c r="A246" s="198"/>
      <c r="B246" s="115"/>
      <c r="C246" s="115"/>
    </row>
    <row r="247" spans="1:3">
      <c r="A247" s="198"/>
      <c r="B247" s="115"/>
      <c r="C247" s="115"/>
    </row>
    <row r="248" spans="1:3">
      <c r="A248" s="198"/>
      <c r="B248" s="115"/>
      <c r="C248" s="115"/>
    </row>
    <row r="249" spans="1:3">
      <c r="A249" s="198"/>
      <c r="B249" s="115"/>
      <c r="C249" s="115"/>
    </row>
    <row r="250" spans="1:3">
      <c r="A250" s="198"/>
      <c r="B250" s="115"/>
      <c r="C250" s="115"/>
    </row>
    <row r="251" spans="1:3">
      <c r="A251" s="198"/>
      <c r="B251" s="115"/>
      <c r="C251" s="115"/>
    </row>
    <row r="252" spans="1:3">
      <c r="A252" s="198"/>
      <c r="B252" s="115"/>
      <c r="C252" s="115"/>
    </row>
    <row r="253" spans="1:3">
      <c r="B253" s="115"/>
      <c r="C253" s="115"/>
    </row>
    <row r="254" spans="1:3">
      <c r="B254" s="115"/>
      <c r="C254" s="115"/>
    </row>
    <row r="255" spans="1:3">
      <c r="B255" s="115"/>
      <c r="C255" s="115"/>
    </row>
    <row r="256" spans="1:3">
      <c r="B256" s="115"/>
      <c r="C256" s="115"/>
    </row>
    <row r="257" spans="2:3">
      <c r="B257" s="115"/>
      <c r="C257" s="115"/>
    </row>
    <row r="258" spans="2:3">
      <c r="B258" s="115"/>
      <c r="C258" s="115"/>
    </row>
  </sheetData>
  <mergeCells count="6">
    <mergeCell ref="A17:A22"/>
    <mergeCell ref="F18:F22"/>
    <mergeCell ref="G18:G22"/>
    <mergeCell ref="A24:A29"/>
    <mergeCell ref="F25:F29"/>
    <mergeCell ref="G25:G29"/>
  </mergeCells>
  <printOptions gridLines="1"/>
  <pageMargins left="0.98425196850393704" right="0.31496062992126" top="0.31496062992126" bottom="0.55118110236220497" header="0.31496062992126" footer="0.31496062992126"/>
  <pageSetup paperSize="9" scale="97" fitToHeight="0" orientation="portrait" horizontalDpi="200" verticalDpi="200" r:id="rId1"/>
  <headerFooter alignWithMargins="0">
    <oddFooter>&amp;R&amp;P/&amp;N</oddFooter>
  </headerFooter>
  <rowBreaks count="4" manualBreakCount="4">
    <brk id="58" max="6" man="1"/>
    <brk id="78" max="6" man="1"/>
    <brk id="89" max="6" man="1"/>
    <brk id="10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7"/>
  <sheetViews>
    <sheetView view="pageBreakPreview" topLeftCell="A76" zoomScaleNormal="85" zoomScaleSheetLayoutView="100" workbookViewId="0">
      <selection activeCell="H76" sqref="H76"/>
    </sheetView>
  </sheetViews>
  <sheetFormatPr defaultRowHeight="12.75"/>
  <cols>
    <col min="1" max="1" width="6.5703125" style="212" customWidth="1"/>
    <col min="2" max="2" width="43.85546875" style="217" customWidth="1"/>
    <col min="3" max="3" width="9.42578125" style="215" customWidth="1"/>
    <col min="4" max="4" width="10.7109375" style="215" customWidth="1"/>
    <col min="5" max="5" width="10.42578125" style="216" bestFit="1" customWidth="1"/>
    <col min="6" max="6" width="13.5703125" style="216" bestFit="1" customWidth="1"/>
    <col min="7" max="256" width="9.140625" style="217"/>
    <col min="257" max="257" width="6.5703125" style="217" customWidth="1"/>
    <col min="258" max="258" width="45.85546875" style="217" customWidth="1"/>
    <col min="259" max="259" width="9.42578125" style="217" customWidth="1"/>
    <col min="260" max="260" width="10.7109375" style="217" customWidth="1"/>
    <col min="261" max="261" width="10.42578125" style="217" bestFit="1" customWidth="1"/>
    <col min="262" max="262" width="11.5703125" style="217" bestFit="1" customWidth="1"/>
    <col min="263" max="512" width="9.140625" style="217"/>
    <col min="513" max="513" width="6.5703125" style="217" customWidth="1"/>
    <col min="514" max="514" width="45.85546875" style="217" customWidth="1"/>
    <col min="515" max="515" width="9.42578125" style="217" customWidth="1"/>
    <col min="516" max="516" width="10.7109375" style="217" customWidth="1"/>
    <col min="517" max="517" width="10.42578125" style="217" bestFit="1" customWidth="1"/>
    <col min="518" max="518" width="11.5703125" style="217" bestFit="1" customWidth="1"/>
    <col min="519" max="768" width="9.140625" style="217"/>
    <col min="769" max="769" width="6.5703125" style="217" customWidth="1"/>
    <col min="770" max="770" width="45.85546875" style="217" customWidth="1"/>
    <col min="771" max="771" width="9.42578125" style="217" customWidth="1"/>
    <col min="772" max="772" width="10.7109375" style="217" customWidth="1"/>
    <col min="773" max="773" width="10.42578125" style="217" bestFit="1" customWidth="1"/>
    <col min="774" max="774" width="11.5703125" style="217" bestFit="1" customWidth="1"/>
    <col min="775" max="1024" width="9.140625" style="217"/>
    <col min="1025" max="1025" width="6.5703125" style="217" customWidth="1"/>
    <col min="1026" max="1026" width="45.85546875" style="217" customWidth="1"/>
    <col min="1027" max="1027" width="9.42578125" style="217" customWidth="1"/>
    <col min="1028" max="1028" width="10.7109375" style="217" customWidth="1"/>
    <col min="1029" max="1029" width="10.42578125" style="217" bestFit="1" customWidth="1"/>
    <col min="1030" max="1030" width="11.5703125" style="217" bestFit="1" customWidth="1"/>
    <col min="1031" max="1280" width="9.140625" style="217"/>
    <col min="1281" max="1281" width="6.5703125" style="217" customWidth="1"/>
    <col min="1282" max="1282" width="45.85546875" style="217" customWidth="1"/>
    <col min="1283" max="1283" width="9.42578125" style="217" customWidth="1"/>
    <col min="1284" max="1284" width="10.7109375" style="217" customWidth="1"/>
    <col min="1285" max="1285" width="10.42578125" style="217" bestFit="1" customWidth="1"/>
    <col min="1286" max="1286" width="11.5703125" style="217" bestFit="1" customWidth="1"/>
    <col min="1287" max="1536" width="9.140625" style="217"/>
    <col min="1537" max="1537" width="6.5703125" style="217" customWidth="1"/>
    <col min="1538" max="1538" width="45.85546875" style="217" customWidth="1"/>
    <col min="1539" max="1539" width="9.42578125" style="217" customWidth="1"/>
    <col min="1540" max="1540" width="10.7109375" style="217" customWidth="1"/>
    <col min="1541" max="1541" width="10.42578125" style="217" bestFit="1" customWidth="1"/>
    <col min="1542" max="1542" width="11.5703125" style="217" bestFit="1" customWidth="1"/>
    <col min="1543" max="1792" width="9.140625" style="217"/>
    <col min="1793" max="1793" width="6.5703125" style="217" customWidth="1"/>
    <col min="1794" max="1794" width="45.85546875" style="217" customWidth="1"/>
    <col min="1795" max="1795" width="9.42578125" style="217" customWidth="1"/>
    <col min="1796" max="1796" width="10.7109375" style="217" customWidth="1"/>
    <col min="1797" max="1797" width="10.42578125" style="217" bestFit="1" customWidth="1"/>
    <col min="1798" max="1798" width="11.5703125" style="217" bestFit="1" customWidth="1"/>
    <col min="1799" max="2048" width="9.140625" style="217"/>
    <col min="2049" max="2049" width="6.5703125" style="217" customWidth="1"/>
    <col min="2050" max="2050" width="45.85546875" style="217" customWidth="1"/>
    <col min="2051" max="2051" width="9.42578125" style="217" customWidth="1"/>
    <col min="2052" max="2052" width="10.7109375" style="217" customWidth="1"/>
    <col min="2053" max="2053" width="10.42578125" style="217" bestFit="1" customWidth="1"/>
    <col min="2054" max="2054" width="11.5703125" style="217" bestFit="1" customWidth="1"/>
    <col min="2055" max="2304" width="9.140625" style="217"/>
    <col min="2305" max="2305" width="6.5703125" style="217" customWidth="1"/>
    <col min="2306" max="2306" width="45.85546875" style="217" customWidth="1"/>
    <col min="2307" max="2307" width="9.42578125" style="217" customWidth="1"/>
    <col min="2308" max="2308" width="10.7109375" style="217" customWidth="1"/>
    <col min="2309" max="2309" width="10.42578125" style="217" bestFit="1" customWidth="1"/>
    <col min="2310" max="2310" width="11.5703125" style="217" bestFit="1" customWidth="1"/>
    <col min="2311" max="2560" width="9.140625" style="217"/>
    <col min="2561" max="2561" width="6.5703125" style="217" customWidth="1"/>
    <col min="2562" max="2562" width="45.85546875" style="217" customWidth="1"/>
    <col min="2563" max="2563" width="9.42578125" style="217" customWidth="1"/>
    <col min="2564" max="2564" width="10.7109375" style="217" customWidth="1"/>
    <col min="2565" max="2565" width="10.42578125" style="217" bestFit="1" customWidth="1"/>
    <col min="2566" max="2566" width="11.5703125" style="217" bestFit="1" customWidth="1"/>
    <col min="2567" max="2816" width="9.140625" style="217"/>
    <col min="2817" max="2817" width="6.5703125" style="217" customWidth="1"/>
    <col min="2818" max="2818" width="45.85546875" style="217" customWidth="1"/>
    <col min="2819" max="2819" width="9.42578125" style="217" customWidth="1"/>
    <col min="2820" max="2820" width="10.7109375" style="217" customWidth="1"/>
    <col min="2821" max="2821" width="10.42578125" style="217" bestFit="1" customWidth="1"/>
    <col min="2822" max="2822" width="11.5703125" style="217" bestFit="1" customWidth="1"/>
    <col min="2823" max="3072" width="9.140625" style="217"/>
    <col min="3073" max="3073" width="6.5703125" style="217" customWidth="1"/>
    <col min="3074" max="3074" width="45.85546875" style="217" customWidth="1"/>
    <col min="3075" max="3075" width="9.42578125" style="217" customWidth="1"/>
    <col min="3076" max="3076" width="10.7109375" style="217" customWidth="1"/>
    <col min="3077" max="3077" width="10.42578125" style="217" bestFit="1" customWidth="1"/>
    <col min="3078" max="3078" width="11.5703125" style="217" bestFit="1" customWidth="1"/>
    <col min="3079" max="3328" width="9.140625" style="217"/>
    <col min="3329" max="3329" width="6.5703125" style="217" customWidth="1"/>
    <col min="3330" max="3330" width="45.85546875" style="217" customWidth="1"/>
    <col min="3331" max="3331" width="9.42578125" style="217" customWidth="1"/>
    <col min="3332" max="3332" width="10.7109375" style="217" customWidth="1"/>
    <col min="3333" max="3333" width="10.42578125" style="217" bestFit="1" customWidth="1"/>
    <col min="3334" max="3334" width="11.5703125" style="217" bestFit="1" customWidth="1"/>
    <col min="3335" max="3584" width="9.140625" style="217"/>
    <col min="3585" max="3585" width="6.5703125" style="217" customWidth="1"/>
    <col min="3586" max="3586" width="45.85546875" style="217" customWidth="1"/>
    <col min="3587" max="3587" width="9.42578125" style="217" customWidth="1"/>
    <col min="3588" max="3588" width="10.7109375" style="217" customWidth="1"/>
    <col min="3589" max="3589" width="10.42578125" style="217" bestFit="1" customWidth="1"/>
    <col min="3590" max="3590" width="11.5703125" style="217" bestFit="1" customWidth="1"/>
    <col min="3591" max="3840" width="9.140625" style="217"/>
    <col min="3841" max="3841" width="6.5703125" style="217" customWidth="1"/>
    <col min="3842" max="3842" width="45.85546875" style="217" customWidth="1"/>
    <col min="3843" max="3843" width="9.42578125" style="217" customWidth="1"/>
    <col min="3844" max="3844" width="10.7109375" style="217" customWidth="1"/>
    <col min="3845" max="3845" width="10.42578125" style="217" bestFit="1" customWidth="1"/>
    <col min="3846" max="3846" width="11.5703125" style="217" bestFit="1" customWidth="1"/>
    <col min="3847" max="4096" width="9.140625" style="217"/>
    <col min="4097" max="4097" width="6.5703125" style="217" customWidth="1"/>
    <col min="4098" max="4098" width="45.85546875" style="217" customWidth="1"/>
    <col min="4099" max="4099" width="9.42578125" style="217" customWidth="1"/>
    <col min="4100" max="4100" width="10.7109375" style="217" customWidth="1"/>
    <col min="4101" max="4101" width="10.42578125" style="217" bestFit="1" customWidth="1"/>
    <col min="4102" max="4102" width="11.5703125" style="217" bestFit="1" customWidth="1"/>
    <col min="4103" max="4352" width="9.140625" style="217"/>
    <col min="4353" max="4353" width="6.5703125" style="217" customWidth="1"/>
    <col min="4354" max="4354" width="45.85546875" style="217" customWidth="1"/>
    <col min="4355" max="4355" width="9.42578125" style="217" customWidth="1"/>
    <col min="4356" max="4356" width="10.7109375" style="217" customWidth="1"/>
    <col min="4357" max="4357" width="10.42578125" style="217" bestFit="1" customWidth="1"/>
    <col min="4358" max="4358" width="11.5703125" style="217" bestFit="1" customWidth="1"/>
    <col min="4359" max="4608" width="9.140625" style="217"/>
    <col min="4609" max="4609" width="6.5703125" style="217" customWidth="1"/>
    <col min="4610" max="4610" width="45.85546875" style="217" customWidth="1"/>
    <col min="4611" max="4611" width="9.42578125" style="217" customWidth="1"/>
    <col min="4612" max="4612" width="10.7109375" style="217" customWidth="1"/>
    <col min="4613" max="4613" width="10.42578125" style="217" bestFit="1" customWidth="1"/>
    <col min="4614" max="4614" width="11.5703125" style="217" bestFit="1" customWidth="1"/>
    <col min="4615" max="4864" width="9.140625" style="217"/>
    <col min="4865" max="4865" width="6.5703125" style="217" customWidth="1"/>
    <col min="4866" max="4866" width="45.85546875" style="217" customWidth="1"/>
    <col min="4867" max="4867" width="9.42578125" style="217" customWidth="1"/>
    <col min="4868" max="4868" width="10.7109375" style="217" customWidth="1"/>
    <col min="4869" max="4869" width="10.42578125" style="217" bestFit="1" customWidth="1"/>
    <col min="4870" max="4870" width="11.5703125" style="217" bestFit="1" customWidth="1"/>
    <col min="4871" max="5120" width="9.140625" style="217"/>
    <col min="5121" max="5121" width="6.5703125" style="217" customWidth="1"/>
    <col min="5122" max="5122" width="45.85546875" style="217" customWidth="1"/>
    <col min="5123" max="5123" width="9.42578125" style="217" customWidth="1"/>
    <col min="5124" max="5124" width="10.7109375" style="217" customWidth="1"/>
    <col min="5125" max="5125" width="10.42578125" style="217" bestFit="1" customWidth="1"/>
    <col min="5126" max="5126" width="11.5703125" style="217" bestFit="1" customWidth="1"/>
    <col min="5127" max="5376" width="9.140625" style="217"/>
    <col min="5377" max="5377" width="6.5703125" style="217" customWidth="1"/>
    <col min="5378" max="5378" width="45.85546875" style="217" customWidth="1"/>
    <col min="5379" max="5379" width="9.42578125" style="217" customWidth="1"/>
    <col min="5380" max="5380" width="10.7109375" style="217" customWidth="1"/>
    <col min="5381" max="5381" width="10.42578125" style="217" bestFit="1" customWidth="1"/>
    <col min="5382" max="5382" width="11.5703125" style="217" bestFit="1" customWidth="1"/>
    <col min="5383" max="5632" width="9.140625" style="217"/>
    <col min="5633" max="5633" width="6.5703125" style="217" customWidth="1"/>
    <col min="5634" max="5634" width="45.85546875" style="217" customWidth="1"/>
    <col min="5635" max="5635" width="9.42578125" style="217" customWidth="1"/>
    <col min="5636" max="5636" width="10.7109375" style="217" customWidth="1"/>
    <col min="5637" max="5637" width="10.42578125" style="217" bestFit="1" customWidth="1"/>
    <col min="5638" max="5638" width="11.5703125" style="217" bestFit="1" customWidth="1"/>
    <col min="5639" max="5888" width="9.140625" style="217"/>
    <col min="5889" max="5889" width="6.5703125" style="217" customWidth="1"/>
    <col min="5890" max="5890" width="45.85546875" style="217" customWidth="1"/>
    <col min="5891" max="5891" width="9.42578125" style="217" customWidth="1"/>
    <col min="5892" max="5892" width="10.7109375" style="217" customWidth="1"/>
    <col min="5893" max="5893" width="10.42578125" style="217" bestFit="1" customWidth="1"/>
    <col min="5894" max="5894" width="11.5703125" style="217" bestFit="1" customWidth="1"/>
    <col min="5895" max="6144" width="9.140625" style="217"/>
    <col min="6145" max="6145" width="6.5703125" style="217" customWidth="1"/>
    <col min="6146" max="6146" width="45.85546875" style="217" customWidth="1"/>
    <col min="6147" max="6147" width="9.42578125" style="217" customWidth="1"/>
    <col min="6148" max="6148" width="10.7109375" style="217" customWidth="1"/>
    <col min="6149" max="6149" width="10.42578125" style="217" bestFit="1" customWidth="1"/>
    <col min="6150" max="6150" width="11.5703125" style="217" bestFit="1" customWidth="1"/>
    <col min="6151" max="6400" width="9.140625" style="217"/>
    <col min="6401" max="6401" width="6.5703125" style="217" customWidth="1"/>
    <col min="6402" max="6402" width="45.85546875" style="217" customWidth="1"/>
    <col min="6403" max="6403" width="9.42578125" style="217" customWidth="1"/>
    <col min="6404" max="6404" width="10.7109375" style="217" customWidth="1"/>
    <col min="6405" max="6405" width="10.42578125" style="217" bestFit="1" customWidth="1"/>
    <col min="6406" max="6406" width="11.5703125" style="217" bestFit="1" customWidth="1"/>
    <col min="6407" max="6656" width="9.140625" style="217"/>
    <col min="6657" max="6657" width="6.5703125" style="217" customWidth="1"/>
    <col min="6658" max="6658" width="45.85546875" style="217" customWidth="1"/>
    <col min="6659" max="6659" width="9.42578125" style="217" customWidth="1"/>
    <col min="6660" max="6660" width="10.7109375" style="217" customWidth="1"/>
    <col min="6661" max="6661" width="10.42578125" style="217" bestFit="1" customWidth="1"/>
    <col min="6662" max="6662" width="11.5703125" style="217" bestFit="1" customWidth="1"/>
    <col min="6663" max="6912" width="9.140625" style="217"/>
    <col min="6913" max="6913" width="6.5703125" style="217" customWidth="1"/>
    <col min="6914" max="6914" width="45.85546875" style="217" customWidth="1"/>
    <col min="6915" max="6915" width="9.42578125" style="217" customWidth="1"/>
    <col min="6916" max="6916" width="10.7109375" style="217" customWidth="1"/>
    <col min="6917" max="6917" width="10.42578125" style="217" bestFit="1" customWidth="1"/>
    <col min="6918" max="6918" width="11.5703125" style="217" bestFit="1" customWidth="1"/>
    <col min="6919" max="7168" width="9.140625" style="217"/>
    <col min="7169" max="7169" width="6.5703125" style="217" customWidth="1"/>
    <col min="7170" max="7170" width="45.85546875" style="217" customWidth="1"/>
    <col min="7171" max="7171" width="9.42578125" style="217" customWidth="1"/>
    <col min="7172" max="7172" width="10.7109375" style="217" customWidth="1"/>
    <col min="7173" max="7173" width="10.42578125" style="217" bestFit="1" customWidth="1"/>
    <col min="7174" max="7174" width="11.5703125" style="217" bestFit="1" customWidth="1"/>
    <col min="7175" max="7424" width="9.140625" style="217"/>
    <col min="7425" max="7425" width="6.5703125" style="217" customWidth="1"/>
    <col min="7426" max="7426" width="45.85546875" style="217" customWidth="1"/>
    <col min="7427" max="7427" width="9.42578125" style="217" customWidth="1"/>
    <col min="7428" max="7428" width="10.7109375" style="217" customWidth="1"/>
    <col min="7429" max="7429" width="10.42578125" style="217" bestFit="1" customWidth="1"/>
    <col min="7430" max="7430" width="11.5703125" style="217" bestFit="1" customWidth="1"/>
    <col min="7431" max="7680" width="9.140625" style="217"/>
    <col min="7681" max="7681" width="6.5703125" style="217" customWidth="1"/>
    <col min="7682" max="7682" width="45.85546875" style="217" customWidth="1"/>
    <col min="7683" max="7683" width="9.42578125" style="217" customWidth="1"/>
    <col min="7684" max="7684" width="10.7109375" style="217" customWidth="1"/>
    <col min="7685" max="7685" width="10.42578125" style="217" bestFit="1" customWidth="1"/>
    <col min="7686" max="7686" width="11.5703125" style="217" bestFit="1" customWidth="1"/>
    <col min="7687" max="7936" width="9.140625" style="217"/>
    <col min="7937" max="7937" width="6.5703125" style="217" customWidth="1"/>
    <col min="7938" max="7938" width="45.85546875" style="217" customWidth="1"/>
    <col min="7939" max="7939" width="9.42578125" style="217" customWidth="1"/>
    <col min="7940" max="7940" width="10.7109375" style="217" customWidth="1"/>
    <col min="7941" max="7941" width="10.42578125" style="217" bestFit="1" customWidth="1"/>
    <col min="7942" max="7942" width="11.5703125" style="217" bestFit="1" customWidth="1"/>
    <col min="7943" max="8192" width="9.140625" style="217"/>
    <col min="8193" max="8193" width="6.5703125" style="217" customWidth="1"/>
    <col min="8194" max="8194" width="45.85546875" style="217" customWidth="1"/>
    <col min="8195" max="8195" width="9.42578125" style="217" customWidth="1"/>
    <col min="8196" max="8196" width="10.7109375" style="217" customWidth="1"/>
    <col min="8197" max="8197" width="10.42578125" style="217" bestFit="1" customWidth="1"/>
    <col min="8198" max="8198" width="11.5703125" style="217" bestFit="1" customWidth="1"/>
    <col min="8199" max="8448" width="9.140625" style="217"/>
    <col min="8449" max="8449" width="6.5703125" style="217" customWidth="1"/>
    <col min="8450" max="8450" width="45.85546875" style="217" customWidth="1"/>
    <col min="8451" max="8451" width="9.42578125" style="217" customWidth="1"/>
    <col min="8452" max="8452" width="10.7109375" style="217" customWidth="1"/>
    <col min="8453" max="8453" width="10.42578125" style="217" bestFit="1" customWidth="1"/>
    <col min="8454" max="8454" width="11.5703125" style="217" bestFit="1" customWidth="1"/>
    <col min="8455" max="8704" width="9.140625" style="217"/>
    <col min="8705" max="8705" width="6.5703125" style="217" customWidth="1"/>
    <col min="8706" max="8706" width="45.85546875" style="217" customWidth="1"/>
    <col min="8707" max="8707" width="9.42578125" style="217" customWidth="1"/>
    <col min="8708" max="8708" width="10.7109375" style="217" customWidth="1"/>
    <col min="8709" max="8709" width="10.42578125" style="217" bestFit="1" customWidth="1"/>
    <col min="8710" max="8710" width="11.5703125" style="217" bestFit="1" customWidth="1"/>
    <col min="8711" max="8960" width="9.140625" style="217"/>
    <col min="8961" max="8961" width="6.5703125" style="217" customWidth="1"/>
    <col min="8962" max="8962" width="45.85546875" style="217" customWidth="1"/>
    <col min="8963" max="8963" width="9.42578125" style="217" customWidth="1"/>
    <col min="8964" max="8964" width="10.7109375" style="217" customWidth="1"/>
    <col min="8965" max="8965" width="10.42578125" style="217" bestFit="1" customWidth="1"/>
    <col min="8966" max="8966" width="11.5703125" style="217" bestFit="1" customWidth="1"/>
    <col min="8967" max="9216" width="9.140625" style="217"/>
    <col min="9217" max="9217" width="6.5703125" style="217" customWidth="1"/>
    <col min="9218" max="9218" width="45.85546875" style="217" customWidth="1"/>
    <col min="9219" max="9219" width="9.42578125" style="217" customWidth="1"/>
    <col min="9220" max="9220" width="10.7109375" style="217" customWidth="1"/>
    <col min="9221" max="9221" width="10.42578125" style="217" bestFit="1" customWidth="1"/>
    <col min="9222" max="9222" width="11.5703125" style="217" bestFit="1" customWidth="1"/>
    <col min="9223" max="9472" width="9.140625" style="217"/>
    <col min="9473" max="9473" width="6.5703125" style="217" customWidth="1"/>
    <col min="9474" max="9474" width="45.85546875" style="217" customWidth="1"/>
    <col min="9475" max="9475" width="9.42578125" style="217" customWidth="1"/>
    <col min="9476" max="9476" width="10.7109375" style="217" customWidth="1"/>
    <col min="9477" max="9477" width="10.42578125" style="217" bestFit="1" customWidth="1"/>
    <col min="9478" max="9478" width="11.5703125" style="217" bestFit="1" customWidth="1"/>
    <col min="9479" max="9728" width="9.140625" style="217"/>
    <col min="9729" max="9729" width="6.5703125" style="217" customWidth="1"/>
    <col min="9730" max="9730" width="45.85546875" style="217" customWidth="1"/>
    <col min="9731" max="9731" width="9.42578125" style="217" customWidth="1"/>
    <col min="9732" max="9732" width="10.7109375" style="217" customWidth="1"/>
    <col min="9733" max="9733" width="10.42578125" style="217" bestFit="1" customWidth="1"/>
    <col min="9734" max="9734" width="11.5703125" style="217" bestFit="1" customWidth="1"/>
    <col min="9735" max="9984" width="9.140625" style="217"/>
    <col min="9985" max="9985" width="6.5703125" style="217" customWidth="1"/>
    <col min="9986" max="9986" width="45.85546875" style="217" customWidth="1"/>
    <col min="9987" max="9987" width="9.42578125" style="217" customWidth="1"/>
    <col min="9988" max="9988" width="10.7109375" style="217" customWidth="1"/>
    <col min="9989" max="9989" width="10.42578125" style="217" bestFit="1" customWidth="1"/>
    <col min="9990" max="9990" width="11.5703125" style="217" bestFit="1" customWidth="1"/>
    <col min="9991" max="10240" width="9.140625" style="217"/>
    <col min="10241" max="10241" width="6.5703125" style="217" customWidth="1"/>
    <col min="10242" max="10242" width="45.85546875" style="217" customWidth="1"/>
    <col min="10243" max="10243" width="9.42578125" style="217" customWidth="1"/>
    <col min="10244" max="10244" width="10.7109375" style="217" customWidth="1"/>
    <col min="10245" max="10245" width="10.42578125" style="217" bestFit="1" customWidth="1"/>
    <col min="10246" max="10246" width="11.5703125" style="217" bestFit="1" customWidth="1"/>
    <col min="10247" max="10496" width="9.140625" style="217"/>
    <col min="10497" max="10497" width="6.5703125" style="217" customWidth="1"/>
    <col min="10498" max="10498" width="45.85546875" style="217" customWidth="1"/>
    <col min="10499" max="10499" width="9.42578125" style="217" customWidth="1"/>
    <col min="10500" max="10500" width="10.7109375" style="217" customWidth="1"/>
    <col min="10501" max="10501" width="10.42578125" style="217" bestFit="1" customWidth="1"/>
    <col min="10502" max="10502" width="11.5703125" style="217" bestFit="1" customWidth="1"/>
    <col min="10503" max="10752" width="9.140625" style="217"/>
    <col min="10753" max="10753" width="6.5703125" style="217" customWidth="1"/>
    <col min="10754" max="10754" width="45.85546875" style="217" customWidth="1"/>
    <col min="10755" max="10755" width="9.42578125" style="217" customWidth="1"/>
    <col min="10756" max="10756" width="10.7109375" style="217" customWidth="1"/>
    <col min="10757" max="10757" width="10.42578125" style="217" bestFit="1" customWidth="1"/>
    <col min="10758" max="10758" width="11.5703125" style="217" bestFit="1" customWidth="1"/>
    <col min="10759" max="11008" width="9.140625" style="217"/>
    <col min="11009" max="11009" width="6.5703125" style="217" customWidth="1"/>
    <col min="11010" max="11010" width="45.85546875" style="217" customWidth="1"/>
    <col min="11011" max="11011" width="9.42578125" style="217" customWidth="1"/>
    <col min="11012" max="11012" width="10.7109375" style="217" customWidth="1"/>
    <col min="11013" max="11013" width="10.42578125" style="217" bestFit="1" customWidth="1"/>
    <col min="11014" max="11014" width="11.5703125" style="217" bestFit="1" customWidth="1"/>
    <col min="11015" max="11264" width="9.140625" style="217"/>
    <col min="11265" max="11265" width="6.5703125" style="217" customWidth="1"/>
    <col min="11266" max="11266" width="45.85546875" style="217" customWidth="1"/>
    <col min="11267" max="11267" width="9.42578125" style="217" customWidth="1"/>
    <col min="11268" max="11268" width="10.7109375" style="217" customWidth="1"/>
    <col min="11269" max="11269" width="10.42578125" style="217" bestFit="1" customWidth="1"/>
    <col min="11270" max="11270" width="11.5703125" style="217" bestFit="1" customWidth="1"/>
    <col min="11271" max="11520" width="9.140625" style="217"/>
    <col min="11521" max="11521" width="6.5703125" style="217" customWidth="1"/>
    <col min="11522" max="11522" width="45.85546875" style="217" customWidth="1"/>
    <col min="11523" max="11523" width="9.42578125" style="217" customWidth="1"/>
    <col min="11524" max="11524" width="10.7109375" style="217" customWidth="1"/>
    <col min="11525" max="11525" width="10.42578125" style="217" bestFit="1" customWidth="1"/>
    <col min="11526" max="11526" width="11.5703125" style="217" bestFit="1" customWidth="1"/>
    <col min="11527" max="11776" width="9.140625" style="217"/>
    <col min="11777" max="11777" width="6.5703125" style="217" customWidth="1"/>
    <col min="11778" max="11778" width="45.85546875" style="217" customWidth="1"/>
    <col min="11779" max="11779" width="9.42578125" style="217" customWidth="1"/>
    <col min="11780" max="11780" width="10.7109375" style="217" customWidth="1"/>
    <col min="11781" max="11781" width="10.42578125" style="217" bestFit="1" customWidth="1"/>
    <col min="11782" max="11782" width="11.5703125" style="217" bestFit="1" customWidth="1"/>
    <col min="11783" max="12032" width="9.140625" style="217"/>
    <col min="12033" max="12033" width="6.5703125" style="217" customWidth="1"/>
    <col min="12034" max="12034" width="45.85546875" style="217" customWidth="1"/>
    <col min="12035" max="12035" width="9.42578125" style="217" customWidth="1"/>
    <col min="12036" max="12036" width="10.7109375" style="217" customWidth="1"/>
    <col min="12037" max="12037" width="10.42578125" style="217" bestFit="1" customWidth="1"/>
    <col min="12038" max="12038" width="11.5703125" style="217" bestFit="1" customWidth="1"/>
    <col min="12039" max="12288" width="9.140625" style="217"/>
    <col min="12289" max="12289" width="6.5703125" style="217" customWidth="1"/>
    <col min="12290" max="12290" width="45.85546875" style="217" customWidth="1"/>
    <col min="12291" max="12291" width="9.42578125" style="217" customWidth="1"/>
    <col min="12292" max="12292" width="10.7109375" style="217" customWidth="1"/>
    <col min="12293" max="12293" width="10.42578125" style="217" bestFit="1" customWidth="1"/>
    <col min="12294" max="12294" width="11.5703125" style="217" bestFit="1" customWidth="1"/>
    <col min="12295" max="12544" width="9.140625" style="217"/>
    <col min="12545" max="12545" width="6.5703125" style="217" customWidth="1"/>
    <col min="12546" max="12546" width="45.85546875" style="217" customWidth="1"/>
    <col min="12547" max="12547" width="9.42578125" style="217" customWidth="1"/>
    <col min="12548" max="12548" width="10.7109375" style="217" customWidth="1"/>
    <col min="12549" max="12549" width="10.42578125" style="217" bestFit="1" customWidth="1"/>
    <col min="12550" max="12550" width="11.5703125" style="217" bestFit="1" customWidth="1"/>
    <col min="12551" max="12800" width="9.140625" style="217"/>
    <col min="12801" max="12801" width="6.5703125" style="217" customWidth="1"/>
    <col min="12802" max="12802" width="45.85546875" style="217" customWidth="1"/>
    <col min="12803" max="12803" width="9.42578125" style="217" customWidth="1"/>
    <col min="12804" max="12804" width="10.7109375" style="217" customWidth="1"/>
    <col min="12805" max="12805" width="10.42578125" style="217" bestFit="1" customWidth="1"/>
    <col min="12806" max="12806" width="11.5703125" style="217" bestFit="1" customWidth="1"/>
    <col min="12807" max="13056" width="9.140625" style="217"/>
    <col min="13057" max="13057" width="6.5703125" style="217" customWidth="1"/>
    <col min="13058" max="13058" width="45.85546875" style="217" customWidth="1"/>
    <col min="13059" max="13059" width="9.42578125" style="217" customWidth="1"/>
    <col min="13060" max="13060" width="10.7109375" style="217" customWidth="1"/>
    <col min="13061" max="13061" width="10.42578125" style="217" bestFit="1" customWidth="1"/>
    <col min="13062" max="13062" width="11.5703125" style="217" bestFit="1" customWidth="1"/>
    <col min="13063" max="13312" width="9.140625" style="217"/>
    <col min="13313" max="13313" width="6.5703125" style="217" customWidth="1"/>
    <col min="13314" max="13314" width="45.85546875" style="217" customWidth="1"/>
    <col min="13315" max="13315" width="9.42578125" style="217" customWidth="1"/>
    <col min="13316" max="13316" width="10.7109375" style="217" customWidth="1"/>
    <col min="13317" max="13317" width="10.42578125" style="217" bestFit="1" customWidth="1"/>
    <col min="13318" max="13318" width="11.5703125" style="217" bestFit="1" customWidth="1"/>
    <col min="13319" max="13568" width="9.140625" style="217"/>
    <col min="13569" max="13569" width="6.5703125" style="217" customWidth="1"/>
    <col min="13570" max="13570" width="45.85546875" style="217" customWidth="1"/>
    <col min="13571" max="13571" width="9.42578125" style="217" customWidth="1"/>
    <col min="13572" max="13572" width="10.7109375" style="217" customWidth="1"/>
    <col min="13573" max="13573" width="10.42578125" style="217" bestFit="1" customWidth="1"/>
    <col min="13574" max="13574" width="11.5703125" style="217" bestFit="1" customWidth="1"/>
    <col min="13575" max="13824" width="9.140625" style="217"/>
    <col min="13825" max="13825" width="6.5703125" style="217" customWidth="1"/>
    <col min="13826" max="13826" width="45.85546875" style="217" customWidth="1"/>
    <col min="13827" max="13827" width="9.42578125" style="217" customWidth="1"/>
    <col min="13828" max="13828" width="10.7109375" style="217" customWidth="1"/>
    <col min="13829" max="13829" width="10.42578125" style="217" bestFit="1" customWidth="1"/>
    <col min="13830" max="13830" width="11.5703125" style="217" bestFit="1" customWidth="1"/>
    <col min="13831" max="14080" width="9.140625" style="217"/>
    <col min="14081" max="14081" width="6.5703125" style="217" customWidth="1"/>
    <col min="14082" max="14082" width="45.85546875" style="217" customWidth="1"/>
    <col min="14083" max="14083" width="9.42578125" style="217" customWidth="1"/>
    <col min="14084" max="14084" width="10.7109375" style="217" customWidth="1"/>
    <col min="14085" max="14085" width="10.42578125" style="217" bestFit="1" customWidth="1"/>
    <col min="14086" max="14086" width="11.5703125" style="217" bestFit="1" customWidth="1"/>
    <col min="14087" max="14336" width="9.140625" style="217"/>
    <col min="14337" max="14337" width="6.5703125" style="217" customWidth="1"/>
    <col min="14338" max="14338" width="45.85546875" style="217" customWidth="1"/>
    <col min="14339" max="14339" width="9.42578125" style="217" customWidth="1"/>
    <col min="14340" max="14340" width="10.7109375" style="217" customWidth="1"/>
    <col min="14341" max="14341" width="10.42578125" style="217" bestFit="1" customWidth="1"/>
    <col min="14342" max="14342" width="11.5703125" style="217" bestFit="1" customWidth="1"/>
    <col min="14343" max="14592" width="9.140625" style="217"/>
    <col min="14593" max="14593" width="6.5703125" style="217" customWidth="1"/>
    <col min="14594" max="14594" width="45.85546875" style="217" customWidth="1"/>
    <col min="14595" max="14595" width="9.42578125" style="217" customWidth="1"/>
    <col min="14596" max="14596" width="10.7109375" style="217" customWidth="1"/>
    <col min="14597" max="14597" width="10.42578125" style="217" bestFit="1" customWidth="1"/>
    <col min="14598" max="14598" width="11.5703125" style="217" bestFit="1" customWidth="1"/>
    <col min="14599" max="14848" width="9.140625" style="217"/>
    <col min="14849" max="14849" width="6.5703125" style="217" customWidth="1"/>
    <col min="14850" max="14850" width="45.85546875" style="217" customWidth="1"/>
    <col min="14851" max="14851" width="9.42578125" style="217" customWidth="1"/>
    <col min="14852" max="14852" width="10.7109375" style="217" customWidth="1"/>
    <col min="14853" max="14853" width="10.42578125" style="217" bestFit="1" customWidth="1"/>
    <col min="14854" max="14854" width="11.5703125" style="217" bestFit="1" customWidth="1"/>
    <col min="14855" max="15104" width="9.140625" style="217"/>
    <col min="15105" max="15105" width="6.5703125" style="217" customWidth="1"/>
    <col min="15106" max="15106" width="45.85546875" style="217" customWidth="1"/>
    <col min="15107" max="15107" width="9.42578125" style="217" customWidth="1"/>
    <col min="15108" max="15108" width="10.7109375" style="217" customWidth="1"/>
    <col min="15109" max="15109" width="10.42578125" style="217" bestFit="1" customWidth="1"/>
    <col min="15110" max="15110" width="11.5703125" style="217" bestFit="1" customWidth="1"/>
    <col min="15111" max="15360" width="9.140625" style="217"/>
    <col min="15361" max="15361" width="6.5703125" style="217" customWidth="1"/>
    <col min="15362" max="15362" width="45.85546875" style="217" customWidth="1"/>
    <col min="15363" max="15363" width="9.42578125" style="217" customWidth="1"/>
    <col min="15364" max="15364" width="10.7109375" style="217" customWidth="1"/>
    <col min="15365" max="15365" width="10.42578125" style="217" bestFit="1" customWidth="1"/>
    <col min="15366" max="15366" width="11.5703125" style="217" bestFit="1" customWidth="1"/>
    <col min="15367" max="15616" width="9.140625" style="217"/>
    <col min="15617" max="15617" width="6.5703125" style="217" customWidth="1"/>
    <col min="15618" max="15618" width="45.85546875" style="217" customWidth="1"/>
    <col min="15619" max="15619" width="9.42578125" style="217" customWidth="1"/>
    <col min="15620" max="15620" width="10.7109375" style="217" customWidth="1"/>
    <col min="15621" max="15621" width="10.42578125" style="217" bestFit="1" customWidth="1"/>
    <col min="15622" max="15622" width="11.5703125" style="217" bestFit="1" customWidth="1"/>
    <col min="15623" max="15872" width="9.140625" style="217"/>
    <col min="15873" max="15873" width="6.5703125" style="217" customWidth="1"/>
    <col min="15874" max="15874" width="45.85546875" style="217" customWidth="1"/>
    <col min="15875" max="15875" width="9.42578125" style="217" customWidth="1"/>
    <col min="15876" max="15876" width="10.7109375" style="217" customWidth="1"/>
    <col min="15877" max="15877" width="10.42578125" style="217" bestFit="1" customWidth="1"/>
    <col min="15878" max="15878" width="11.5703125" style="217" bestFit="1" customWidth="1"/>
    <col min="15879" max="16128" width="9.140625" style="217"/>
    <col min="16129" max="16129" width="6.5703125" style="217" customWidth="1"/>
    <col min="16130" max="16130" width="45.85546875" style="217" customWidth="1"/>
    <col min="16131" max="16131" width="9.42578125" style="217" customWidth="1"/>
    <col min="16132" max="16132" width="10.7109375" style="217" customWidth="1"/>
    <col min="16133" max="16133" width="10.42578125" style="217" bestFit="1" customWidth="1"/>
    <col min="16134" max="16134" width="11.5703125" style="217" bestFit="1" customWidth="1"/>
    <col min="16135" max="16384" width="9.140625" style="217"/>
  </cols>
  <sheetData>
    <row r="1" spans="1:11" s="21" customFormat="1" ht="63.75">
      <c r="A1" s="16"/>
      <c r="B1" s="17" t="s">
        <v>41</v>
      </c>
      <c r="C1" s="15"/>
      <c r="D1" s="18"/>
      <c r="E1" s="19"/>
      <c r="F1" s="18"/>
      <c r="G1" s="18"/>
      <c r="H1" s="18"/>
      <c r="I1" s="19"/>
      <c r="J1" s="18"/>
      <c r="K1" s="18"/>
    </row>
    <row r="2" spans="1:11" s="21" customFormat="1">
      <c r="A2" s="16"/>
      <c r="B2" s="17"/>
      <c r="C2" s="15"/>
      <c r="D2" s="18"/>
      <c r="E2" s="19"/>
      <c r="F2" s="18"/>
      <c r="G2" s="18"/>
      <c r="H2" s="18"/>
      <c r="I2" s="19"/>
      <c r="J2" s="18"/>
      <c r="K2" s="18"/>
    </row>
    <row r="3" spans="1:11" s="21" customFormat="1" ht="102">
      <c r="A3" s="3"/>
      <c r="B3" s="2" t="s">
        <v>476</v>
      </c>
      <c r="C3" s="48"/>
      <c r="D3" s="34"/>
      <c r="E3" s="46"/>
      <c r="F3" s="49"/>
      <c r="G3" s="49"/>
      <c r="H3" s="49"/>
      <c r="I3" s="46"/>
      <c r="J3" s="49"/>
      <c r="K3" s="49"/>
    </row>
    <row r="4" spans="1:11" s="21" customFormat="1">
      <c r="A4" s="4"/>
      <c r="B4" s="2"/>
      <c r="C4" s="48"/>
      <c r="D4" s="34"/>
      <c r="E4" s="46"/>
      <c r="F4" s="49"/>
      <c r="G4" s="49"/>
      <c r="H4" s="49"/>
      <c r="I4" s="46"/>
      <c r="J4" s="49"/>
      <c r="K4" s="49"/>
    </row>
    <row r="6" spans="1:11">
      <c r="A6" s="212" t="s">
        <v>146</v>
      </c>
      <c r="B6" s="213" t="s">
        <v>425</v>
      </c>
      <c r="C6" s="214"/>
    </row>
    <row r="7" spans="1:11" ht="25.5">
      <c r="B7" s="213" t="s">
        <v>426</v>
      </c>
      <c r="C7" s="214"/>
    </row>
    <row r="8" spans="1:11">
      <c r="B8" s="218"/>
      <c r="C8" s="214"/>
    </row>
    <row r="9" spans="1:11" ht="25.5">
      <c r="A9" s="219" t="s">
        <v>427</v>
      </c>
      <c r="B9" s="220"/>
      <c r="C9" s="221" t="s">
        <v>428</v>
      </c>
      <c r="D9" s="221" t="s">
        <v>596</v>
      </c>
      <c r="E9" s="355" t="s">
        <v>594</v>
      </c>
      <c r="F9" s="355" t="s">
        <v>595</v>
      </c>
    </row>
    <row r="11" spans="1:11" ht="25.5">
      <c r="A11" s="213">
        <v>1</v>
      </c>
      <c r="B11" s="222" t="s">
        <v>545</v>
      </c>
    </row>
    <row r="12" spans="1:11" ht="30.75" customHeight="1">
      <c r="A12" s="212">
        <v>1.1000000000000001</v>
      </c>
      <c r="B12" s="218" t="s">
        <v>546</v>
      </c>
      <c r="C12" s="214" t="s">
        <v>431</v>
      </c>
      <c r="D12" s="223">
        <v>11.3</v>
      </c>
      <c r="F12" s="216">
        <f>D12*E12</f>
        <v>0</v>
      </c>
    </row>
    <row r="13" spans="1:11" ht="51">
      <c r="A13" s="212">
        <v>1.2</v>
      </c>
      <c r="B13" s="218" t="s">
        <v>547</v>
      </c>
      <c r="C13" s="214" t="s">
        <v>548</v>
      </c>
      <c r="D13" s="223">
        <f>D12*1</f>
        <v>11.3</v>
      </c>
      <c r="F13" s="216">
        <f>D13*E13</f>
        <v>0</v>
      </c>
    </row>
    <row r="14" spans="1:11" ht="89.25">
      <c r="A14" s="212">
        <v>1.3</v>
      </c>
      <c r="B14" s="218" t="s">
        <v>549</v>
      </c>
      <c r="C14" s="214"/>
      <c r="D14" s="224"/>
    </row>
    <row r="15" spans="1:11" ht="15">
      <c r="B15" s="218" t="s">
        <v>550</v>
      </c>
      <c r="C15" s="214" t="s">
        <v>433</v>
      </c>
      <c r="D15" s="223">
        <f>D12*0.8*1.2+1*1*1</f>
        <v>11.848000000000001</v>
      </c>
      <c r="F15" s="216">
        <f>D15*E15</f>
        <v>0</v>
      </c>
    </row>
    <row r="16" spans="1:11" ht="25.5">
      <c r="A16" s="212">
        <v>1.4</v>
      </c>
      <c r="B16" s="218" t="s">
        <v>551</v>
      </c>
      <c r="C16" s="214"/>
      <c r="D16" s="224"/>
    </row>
    <row r="17" spans="1:7" ht="15">
      <c r="B17" s="218" t="s">
        <v>552</v>
      </c>
      <c r="C17" s="214" t="s">
        <v>548</v>
      </c>
      <c r="D17" s="223">
        <f>D12*0.8</f>
        <v>9.0400000000000009</v>
      </c>
      <c r="F17" s="216">
        <f>D17*E17</f>
        <v>0</v>
      </c>
    </row>
    <row r="18" spans="1:7" ht="38.25">
      <c r="A18" s="212">
        <v>1.5</v>
      </c>
      <c r="B18" s="218" t="s">
        <v>553</v>
      </c>
      <c r="C18" s="214"/>
    </row>
    <row r="19" spans="1:7" ht="15">
      <c r="B19" s="218" t="s">
        <v>554</v>
      </c>
      <c r="C19" s="214" t="s">
        <v>433</v>
      </c>
      <c r="D19" s="223">
        <f>D12*0.8*0.1+1*1*0.1</f>
        <v>1.0040000000000002</v>
      </c>
      <c r="F19" s="216">
        <f>D19*E19</f>
        <v>0</v>
      </c>
    </row>
    <row r="20" spans="1:7" ht="51">
      <c r="A20" s="212">
        <v>1.6</v>
      </c>
      <c r="B20" s="218" t="s">
        <v>555</v>
      </c>
      <c r="C20" s="214"/>
    </row>
    <row r="21" spans="1:7" ht="25.5">
      <c r="B21" s="218" t="s">
        <v>556</v>
      </c>
      <c r="C21" s="214" t="s">
        <v>433</v>
      </c>
      <c r="D21" s="223">
        <f>D12*0.8*0.45-D12*0.035*0.035*3.14+1*1*0.45</f>
        <v>4.4745345500000004</v>
      </c>
      <c r="F21" s="216">
        <f t="shared" ref="F21:F23" si="0">D21*E21</f>
        <v>0</v>
      </c>
    </row>
    <row r="22" spans="1:7" ht="89.25">
      <c r="A22" s="212">
        <v>1.7</v>
      </c>
      <c r="B22" s="218" t="s">
        <v>557</v>
      </c>
      <c r="C22" s="214" t="s">
        <v>433</v>
      </c>
      <c r="D22" s="223">
        <f>D15-D19-D21</f>
        <v>6.3694654500000008</v>
      </c>
      <c r="F22" s="216">
        <f t="shared" si="0"/>
        <v>0</v>
      </c>
    </row>
    <row r="23" spans="1:7" ht="25.5">
      <c r="A23" s="212">
        <v>1.8</v>
      </c>
      <c r="B23" s="218" t="s">
        <v>558</v>
      </c>
      <c r="C23" s="214" t="s">
        <v>548</v>
      </c>
      <c r="D23" s="223">
        <f>D13</f>
        <v>11.3</v>
      </c>
      <c r="F23" s="216">
        <f t="shared" si="0"/>
        <v>0</v>
      </c>
    </row>
    <row r="24" spans="1:7" ht="45.6" customHeight="1">
      <c r="A24" s="225">
        <v>1.9</v>
      </c>
      <c r="B24" s="218" t="s">
        <v>559</v>
      </c>
      <c r="C24" s="214"/>
    </row>
    <row r="25" spans="1:7" ht="18.75" customHeight="1">
      <c r="B25" s="218" t="s">
        <v>560</v>
      </c>
      <c r="C25" s="214" t="s">
        <v>431</v>
      </c>
      <c r="D25" s="223">
        <f>D12</f>
        <v>11.3</v>
      </c>
      <c r="F25" s="216">
        <f>D25*E25</f>
        <v>0</v>
      </c>
    </row>
    <row r="26" spans="1:7" ht="45.75" customHeight="1">
      <c r="A26" s="226">
        <v>1.1000000000000001</v>
      </c>
      <c r="B26" s="218" t="s">
        <v>561</v>
      </c>
      <c r="C26" s="214"/>
    </row>
    <row r="27" spans="1:7" s="231" customFormat="1" ht="15.6" customHeight="1">
      <c r="A27" s="227"/>
      <c r="B27" s="228" t="s">
        <v>562</v>
      </c>
      <c r="C27" s="229" t="s">
        <v>563</v>
      </c>
      <c r="D27" s="230">
        <v>1</v>
      </c>
      <c r="E27" s="216"/>
      <c r="F27" s="216">
        <f t="shared" ref="F27:F32" si="1">D27*E27</f>
        <v>0</v>
      </c>
    </row>
    <row r="28" spans="1:7" s="231" customFormat="1" ht="15.6" customHeight="1">
      <c r="A28" s="227"/>
      <c r="B28" s="228" t="s">
        <v>564</v>
      </c>
      <c r="C28" s="229" t="s">
        <v>563</v>
      </c>
      <c r="D28" s="230">
        <v>2</v>
      </c>
      <c r="E28" s="216"/>
      <c r="F28" s="216">
        <f t="shared" si="1"/>
        <v>0</v>
      </c>
    </row>
    <row r="29" spans="1:7" s="231" customFormat="1" ht="15.6" customHeight="1">
      <c r="A29" s="227"/>
      <c r="B29" s="228" t="s">
        <v>565</v>
      </c>
      <c r="C29" s="229" t="s">
        <v>563</v>
      </c>
      <c r="D29" s="230">
        <v>6</v>
      </c>
      <c r="E29" s="216"/>
      <c r="F29" s="216">
        <f t="shared" si="1"/>
        <v>0</v>
      </c>
    </row>
    <row r="30" spans="1:7" s="231" customFormat="1" ht="15.6" customHeight="1">
      <c r="A30" s="227"/>
      <c r="B30" s="228" t="s">
        <v>566</v>
      </c>
      <c r="C30" s="229" t="s">
        <v>563</v>
      </c>
      <c r="D30" s="230">
        <v>2</v>
      </c>
      <c r="E30" s="216"/>
      <c r="F30" s="216">
        <f t="shared" si="1"/>
        <v>0</v>
      </c>
    </row>
    <row r="31" spans="1:7" s="231" customFormat="1" ht="15.6" customHeight="1">
      <c r="A31" s="227"/>
      <c r="B31" s="228" t="s">
        <v>567</v>
      </c>
      <c r="C31" s="229" t="s">
        <v>563</v>
      </c>
      <c r="D31" s="230">
        <v>1</v>
      </c>
      <c r="E31" s="216"/>
      <c r="F31" s="216">
        <f t="shared" si="1"/>
        <v>0</v>
      </c>
    </row>
    <row r="32" spans="1:7" s="231" customFormat="1" ht="15.6" customHeight="1">
      <c r="A32" s="227"/>
      <c r="B32" s="232" t="s">
        <v>568</v>
      </c>
      <c r="C32" s="233" t="s">
        <v>563</v>
      </c>
      <c r="D32" s="234">
        <v>1</v>
      </c>
      <c r="E32" s="235"/>
      <c r="F32" s="235">
        <f t="shared" si="1"/>
        <v>0</v>
      </c>
      <c r="G32" s="236"/>
    </row>
    <row r="33" spans="1:6">
      <c r="A33" s="237"/>
      <c r="B33" s="218"/>
      <c r="C33" s="217" t="s">
        <v>569</v>
      </c>
      <c r="D33" s="218"/>
      <c r="F33" s="216">
        <f>SUM(F12:F32)</f>
        <v>0</v>
      </c>
    </row>
    <row r="34" spans="1:6">
      <c r="A34" s="237"/>
      <c r="B34" s="218"/>
      <c r="C34" s="217"/>
      <c r="D34" s="218"/>
    </row>
    <row r="35" spans="1:6">
      <c r="A35" s="213">
        <v>2</v>
      </c>
      <c r="B35" s="222" t="s">
        <v>429</v>
      </c>
      <c r="C35" s="214"/>
    </row>
    <row r="36" spans="1:6">
      <c r="B36" s="222"/>
      <c r="C36" s="214"/>
    </row>
    <row r="37" spans="1:6" ht="38.25">
      <c r="A37" s="212">
        <v>2.1</v>
      </c>
      <c r="B37" s="218" t="s">
        <v>430</v>
      </c>
      <c r="C37" s="214"/>
      <c r="D37" s="223"/>
    </row>
    <row r="38" spans="1:6">
      <c r="B38" s="218" t="s">
        <v>570</v>
      </c>
      <c r="C38" s="214" t="s">
        <v>431</v>
      </c>
      <c r="D38" s="223">
        <v>97.05</v>
      </c>
      <c r="F38" s="216">
        <f>D38*E38</f>
        <v>0</v>
      </c>
    </row>
    <row r="39" spans="1:6" ht="36.75" customHeight="1">
      <c r="A39" s="212">
        <v>2.2000000000000002</v>
      </c>
      <c r="B39" s="218" t="s">
        <v>547</v>
      </c>
      <c r="C39" s="214" t="s">
        <v>548</v>
      </c>
      <c r="D39" s="223">
        <f>D38*1</f>
        <v>97.05</v>
      </c>
      <c r="F39" s="216">
        <f>D39*E39</f>
        <v>0</v>
      </c>
    </row>
    <row r="40" spans="1:6" ht="140.25">
      <c r="A40" s="212">
        <v>2.2999999999999998</v>
      </c>
      <c r="B40" s="218" t="s">
        <v>571</v>
      </c>
      <c r="C40" s="217"/>
      <c r="D40" s="217"/>
    </row>
    <row r="41" spans="1:6">
      <c r="B41" s="218"/>
      <c r="C41" s="217"/>
      <c r="D41" s="217"/>
    </row>
    <row r="42" spans="1:6">
      <c r="B42" s="217">
        <v>114.62</v>
      </c>
      <c r="C42" s="217"/>
      <c r="D42" s="224"/>
    </row>
    <row r="43" spans="1:6" ht="15">
      <c r="B43" s="218" t="s">
        <v>432</v>
      </c>
      <c r="C43" s="214" t="s">
        <v>433</v>
      </c>
      <c r="D43" s="223">
        <f>B42*0.7</f>
        <v>80.233999999999995</v>
      </c>
      <c r="F43" s="216">
        <f>D43*E43</f>
        <v>0</v>
      </c>
    </row>
    <row r="44" spans="1:6" ht="15">
      <c r="B44" s="218" t="s">
        <v>434</v>
      </c>
      <c r="C44" s="214" t="s">
        <v>433</v>
      </c>
      <c r="D44" s="223">
        <f>B42*0.3</f>
        <v>34.386000000000003</v>
      </c>
      <c r="F44" s="216">
        <f>D44*E44</f>
        <v>0</v>
      </c>
    </row>
    <row r="45" spans="1:6" ht="25.5">
      <c r="A45" s="212">
        <v>2.4</v>
      </c>
      <c r="B45" s="218" t="s">
        <v>435</v>
      </c>
      <c r="C45" s="214"/>
      <c r="D45" s="224"/>
    </row>
    <row r="46" spans="1:6" ht="15">
      <c r="B46" s="218" t="s">
        <v>572</v>
      </c>
      <c r="C46" s="214" t="s">
        <v>433</v>
      </c>
      <c r="D46" s="223">
        <f>6*3*3*1.33</f>
        <v>71.820000000000007</v>
      </c>
      <c r="F46" s="216">
        <f>D46*E46</f>
        <v>0</v>
      </c>
    </row>
    <row r="47" spans="1:6" ht="25.5">
      <c r="A47" s="212">
        <v>2.5</v>
      </c>
      <c r="B47" s="218" t="s">
        <v>436</v>
      </c>
      <c r="C47" s="217"/>
      <c r="D47" s="217"/>
    </row>
    <row r="48" spans="1:6" ht="15">
      <c r="B48" s="218" t="s">
        <v>437</v>
      </c>
      <c r="C48" s="214" t="s">
        <v>433</v>
      </c>
      <c r="D48" s="223">
        <f>B42*0.1</f>
        <v>11.462000000000002</v>
      </c>
      <c r="F48" s="216">
        <f>D48*E48</f>
        <v>0</v>
      </c>
    </row>
    <row r="49" spans="1:6" ht="29.25" customHeight="1">
      <c r="A49" s="212">
        <v>2.6</v>
      </c>
      <c r="B49" s="218" t="s">
        <v>438</v>
      </c>
      <c r="C49" s="238"/>
      <c r="D49" s="238"/>
    </row>
    <row r="50" spans="1:6">
      <c r="B50" s="218" t="s">
        <v>439</v>
      </c>
      <c r="C50" s="214"/>
      <c r="D50" s="223"/>
    </row>
    <row r="51" spans="1:6" ht="15">
      <c r="B51" s="217">
        <v>10</v>
      </c>
      <c r="C51" s="214" t="s">
        <v>433</v>
      </c>
      <c r="D51" s="223">
        <v>14.56</v>
      </c>
      <c r="F51" s="216">
        <f>D51*E51</f>
        <v>0</v>
      </c>
    </row>
    <row r="52" spans="1:6" ht="38.25">
      <c r="A52" s="212">
        <v>2.7</v>
      </c>
      <c r="B52" s="218" t="s">
        <v>440</v>
      </c>
      <c r="C52" s="214"/>
      <c r="D52" s="223"/>
    </row>
    <row r="53" spans="1:6">
      <c r="B53" s="239" t="s">
        <v>441</v>
      </c>
      <c r="C53" s="214"/>
      <c r="D53" s="223"/>
    </row>
    <row r="54" spans="1:6" ht="15">
      <c r="B54" s="218" t="s">
        <v>573</v>
      </c>
      <c r="C54" s="214" t="s">
        <v>433</v>
      </c>
      <c r="D54" s="224">
        <f>6*3*3*0.1</f>
        <v>5.4</v>
      </c>
      <c r="F54" s="216">
        <f>D54*E54</f>
        <v>0</v>
      </c>
    </row>
    <row r="55" spans="1:6" ht="40.9" customHeight="1">
      <c r="A55" s="212">
        <v>2.8</v>
      </c>
      <c r="B55" s="218" t="s">
        <v>555</v>
      </c>
      <c r="C55" s="214"/>
      <c r="D55" s="224"/>
    </row>
    <row r="56" spans="1:6" ht="15">
      <c r="B56" s="218" t="s">
        <v>574</v>
      </c>
      <c r="C56" s="214" t="s">
        <v>433</v>
      </c>
      <c r="D56" s="224">
        <f>D38*0.8*0.3-D38*0.08*0.08*3.14</f>
        <v>21.341683199999999</v>
      </c>
      <c r="F56" s="216">
        <f t="shared" ref="F56:F59" si="2">D56*E56</f>
        <v>0</v>
      </c>
    </row>
    <row r="57" spans="1:6" ht="80.45" customHeight="1">
      <c r="A57" s="212">
        <v>2.9</v>
      </c>
      <c r="B57" s="218" t="s">
        <v>575</v>
      </c>
      <c r="C57" s="214" t="s">
        <v>433</v>
      </c>
      <c r="D57" s="223">
        <f>D43+D44+D46+D48-D51-D54-D56</f>
        <v>156.60031679999997</v>
      </c>
      <c r="F57" s="216">
        <f t="shared" si="2"/>
        <v>0</v>
      </c>
    </row>
    <row r="58" spans="1:6" ht="28.5" customHeight="1">
      <c r="A58" s="240">
        <v>2.1</v>
      </c>
      <c r="B58" s="218" t="s">
        <v>558</v>
      </c>
      <c r="C58" s="214" t="s">
        <v>433</v>
      </c>
      <c r="D58" s="223">
        <f>D39</f>
        <v>97.05</v>
      </c>
      <c r="F58" s="216">
        <f t="shared" si="2"/>
        <v>0</v>
      </c>
    </row>
    <row r="59" spans="1:6" ht="48.6" customHeight="1">
      <c r="A59" s="240">
        <v>2.11</v>
      </c>
      <c r="B59" s="218" t="s">
        <v>442</v>
      </c>
      <c r="C59" s="214" t="s">
        <v>433</v>
      </c>
      <c r="D59" s="223">
        <f>92*0.1*0.1*3.14+0.5*0.5*3.14*1.2</f>
        <v>3.8308000000000009</v>
      </c>
      <c r="F59" s="216">
        <f t="shared" si="2"/>
        <v>0</v>
      </c>
    </row>
    <row r="60" spans="1:6" ht="54.75" customHeight="1">
      <c r="A60" s="229">
        <v>2.12</v>
      </c>
      <c r="B60" s="218" t="s">
        <v>443</v>
      </c>
      <c r="C60" s="241"/>
    </row>
    <row r="61" spans="1:6" ht="24" customHeight="1">
      <c r="B61" s="218" t="s">
        <v>576</v>
      </c>
      <c r="C61" s="214" t="s">
        <v>433</v>
      </c>
      <c r="D61" s="224">
        <f>(1.1*1.1-0.3*0.3*3.14)*0.15*6</f>
        <v>0.83466000000000018</v>
      </c>
      <c r="F61" s="216">
        <f>D61*E61</f>
        <v>0</v>
      </c>
    </row>
    <row r="62" spans="1:6" ht="59.25" customHeight="1">
      <c r="A62" s="212">
        <v>2.13</v>
      </c>
      <c r="B62" s="218" t="s">
        <v>444</v>
      </c>
      <c r="C62" s="241" t="s">
        <v>115</v>
      </c>
      <c r="D62" s="215">
        <v>6</v>
      </c>
      <c r="F62" s="216">
        <f>D62*E62</f>
        <v>0</v>
      </c>
    </row>
    <row r="63" spans="1:6" ht="161.44999999999999" customHeight="1">
      <c r="A63" s="212">
        <v>2.14</v>
      </c>
      <c r="B63" s="242" t="s">
        <v>616</v>
      </c>
      <c r="C63" s="217"/>
    </row>
    <row r="64" spans="1:6" ht="30.75" customHeight="1">
      <c r="B64" s="243" t="s">
        <v>577</v>
      </c>
      <c r="C64" s="214" t="s">
        <v>431</v>
      </c>
      <c r="D64" s="223">
        <v>11.7</v>
      </c>
      <c r="F64" s="216">
        <f>D64*E64</f>
        <v>0</v>
      </c>
    </row>
    <row r="65" spans="1:7" ht="32.25" customHeight="1">
      <c r="B65" s="243" t="s">
        <v>578</v>
      </c>
      <c r="C65" s="214" t="s">
        <v>431</v>
      </c>
      <c r="D65" s="223">
        <f>(17.35+9.7+15+25+5)</f>
        <v>72.05</v>
      </c>
      <c r="F65" s="216">
        <f>D65*E65</f>
        <v>0</v>
      </c>
    </row>
    <row r="66" spans="1:7" ht="78.75" customHeight="1">
      <c r="A66" s="212">
        <v>2.15</v>
      </c>
      <c r="B66" s="242" t="s">
        <v>445</v>
      </c>
      <c r="C66" s="214"/>
      <c r="D66" s="223"/>
    </row>
    <row r="67" spans="1:7" ht="27.6" customHeight="1">
      <c r="B67" s="218" t="s">
        <v>579</v>
      </c>
      <c r="C67" s="214" t="s">
        <v>431</v>
      </c>
      <c r="D67" s="223">
        <f>(2*4.95+10.75+4.5+2*1.15)</f>
        <v>27.45</v>
      </c>
      <c r="F67" s="216">
        <f>D67*E67</f>
        <v>0</v>
      </c>
    </row>
    <row r="68" spans="1:7" ht="27.6" customHeight="1">
      <c r="B68" s="218" t="s">
        <v>580</v>
      </c>
      <c r="C68" s="214" t="s">
        <v>431</v>
      </c>
      <c r="D68" s="223">
        <v>2.2000000000000002</v>
      </c>
      <c r="F68" s="216">
        <f>D68*E68</f>
        <v>0</v>
      </c>
    </row>
    <row r="69" spans="1:7" ht="114.75">
      <c r="A69" s="212">
        <v>2.16</v>
      </c>
      <c r="B69" s="242" t="s">
        <v>581</v>
      </c>
      <c r="C69" s="217"/>
    </row>
    <row r="70" spans="1:7" ht="17.45" customHeight="1">
      <c r="B70" s="218" t="s">
        <v>582</v>
      </c>
      <c r="C70" s="243" t="s">
        <v>32</v>
      </c>
      <c r="D70" s="244">
        <v>6</v>
      </c>
      <c r="F70" s="216">
        <f>D70*E70</f>
        <v>0</v>
      </c>
    </row>
    <row r="71" spans="1:7" ht="54.6" customHeight="1">
      <c r="A71" s="212">
        <v>2.17</v>
      </c>
      <c r="B71" s="242" t="s">
        <v>583</v>
      </c>
      <c r="C71" s="241" t="s">
        <v>32</v>
      </c>
      <c r="D71" s="215">
        <v>6</v>
      </c>
      <c r="F71" s="216">
        <f>D71*E71</f>
        <v>0</v>
      </c>
    </row>
    <row r="72" spans="1:7" ht="54.6" customHeight="1">
      <c r="A72" s="212">
        <v>2.1800000000000002</v>
      </c>
      <c r="B72" s="242" t="s">
        <v>617</v>
      </c>
      <c r="C72" s="241"/>
    </row>
    <row r="73" spans="1:7" ht="15" customHeight="1">
      <c r="B73" s="242" t="s">
        <v>584</v>
      </c>
      <c r="C73" s="241" t="s">
        <v>32</v>
      </c>
      <c r="D73" s="215">
        <v>1</v>
      </c>
      <c r="F73" s="216">
        <f t="shared" ref="F73:F76" si="3">D73*E73</f>
        <v>0</v>
      </c>
    </row>
    <row r="74" spans="1:7" ht="15" customHeight="1">
      <c r="B74" s="242" t="s">
        <v>585</v>
      </c>
      <c r="C74" s="241" t="s">
        <v>32</v>
      </c>
      <c r="D74" s="215">
        <v>1</v>
      </c>
      <c r="F74" s="216">
        <f t="shared" si="3"/>
        <v>0</v>
      </c>
    </row>
    <row r="75" spans="1:7" ht="79.5" customHeight="1">
      <c r="A75" s="212">
        <v>2.19</v>
      </c>
      <c r="B75" s="218" t="s">
        <v>446</v>
      </c>
      <c r="C75" s="241" t="s">
        <v>32</v>
      </c>
      <c r="D75" s="215">
        <v>7</v>
      </c>
      <c r="F75" s="216">
        <f t="shared" si="3"/>
        <v>0</v>
      </c>
    </row>
    <row r="76" spans="1:7" ht="28.15" customHeight="1">
      <c r="A76" s="245"/>
      <c r="B76" s="246" t="s">
        <v>447</v>
      </c>
      <c r="C76" s="247" t="s">
        <v>431</v>
      </c>
      <c r="D76" s="248">
        <f>D38</f>
        <v>97.05</v>
      </c>
      <c r="E76" s="235"/>
      <c r="F76" s="235">
        <f t="shared" si="3"/>
        <v>0</v>
      </c>
      <c r="G76" s="249"/>
    </row>
    <row r="77" spans="1:7">
      <c r="A77" s="237"/>
      <c r="B77" s="218"/>
      <c r="C77" s="217" t="s">
        <v>569</v>
      </c>
      <c r="D77" s="218"/>
      <c r="F77" s="216">
        <f>SUM(F37:F76)</f>
        <v>0</v>
      </c>
    </row>
    <row r="78" spans="1:7">
      <c r="B78" s="218"/>
      <c r="C78" s="214"/>
    </row>
    <row r="79" spans="1:7">
      <c r="A79" s="237"/>
      <c r="B79" s="218"/>
      <c r="C79" s="214"/>
      <c r="D79" s="224"/>
    </row>
    <row r="81" spans="1:7">
      <c r="B81" s="222" t="s">
        <v>448</v>
      </c>
      <c r="C81" s="242"/>
      <c r="D81" s="242"/>
    </row>
    <row r="82" spans="1:7">
      <c r="A82" s="250"/>
      <c r="B82" s="251"/>
      <c r="C82" s="252"/>
      <c r="D82" s="252"/>
    </row>
    <row r="83" spans="1:7" ht="25.5">
      <c r="A83" s="213">
        <v>1</v>
      </c>
      <c r="B83" s="222" t="s">
        <v>545</v>
      </c>
      <c r="C83" s="242"/>
      <c r="D83" s="242"/>
      <c r="F83" s="216">
        <f>F33</f>
        <v>0</v>
      </c>
    </row>
    <row r="84" spans="1:7" ht="25.5">
      <c r="A84" s="253">
        <v>2</v>
      </c>
      <c r="B84" s="222" t="s">
        <v>449</v>
      </c>
      <c r="C84" s="242"/>
      <c r="D84" s="242"/>
      <c r="F84" s="216">
        <f>F77</f>
        <v>0</v>
      </c>
    </row>
    <row r="85" spans="1:7">
      <c r="A85" s="253"/>
      <c r="B85" s="222"/>
      <c r="C85" s="242"/>
      <c r="D85" s="242"/>
    </row>
    <row r="86" spans="1:7">
      <c r="A86" s="254"/>
      <c r="B86" s="255"/>
      <c r="C86" s="246"/>
      <c r="D86" s="246"/>
      <c r="E86" s="235"/>
      <c r="F86" s="235"/>
      <c r="G86" s="249"/>
    </row>
    <row r="87" spans="1:7">
      <c r="B87" s="2" t="s">
        <v>667</v>
      </c>
      <c r="C87" s="217"/>
      <c r="D87" s="217"/>
      <c r="F87" s="216">
        <f>SUM(F83:F86)</f>
        <v>0</v>
      </c>
    </row>
    <row r="88" spans="1:7">
      <c r="B88" s="257"/>
      <c r="C88" s="242"/>
      <c r="D88" s="242"/>
    </row>
    <row r="89" spans="1:7">
      <c r="B89" s="257"/>
      <c r="C89" s="257"/>
      <c r="D89" s="242"/>
    </row>
    <row r="90" spans="1:7">
      <c r="B90" s="257"/>
      <c r="C90" s="242"/>
      <c r="D90" s="242"/>
    </row>
    <row r="91" spans="1:7">
      <c r="B91" s="256"/>
      <c r="C91" s="242"/>
      <c r="D91" s="242"/>
    </row>
    <row r="92" spans="1:7">
      <c r="B92" s="218"/>
      <c r="C92" s="214"/>
    </row>
    <row r="93" spans="1:7">
      <c r="B93" s="218"/>
      <c r="C93" s="214"/>
      <c r="D93" s="217"/>
    </row>
    <row r="94" spans="1:7">
      <c r="B94" s="218"/>
      <c r="C94" s="214"/>
      <c r="D94" s="217"/>
    </row>
    <row r="95" spans="1:7">
      <c r="B95" s="218"/>
      <c r="C95" s="214"/>
      <c r="D95" s="217"/>
    </row>
    <row r="96" spans="1:7">
      <c r="B96" s="218"/>
      <c r="C96" s="214"/>
      <c r="D96" s="217"/>
    </row>
    <row r="97" spans="2:4">
      <c r="B97" s="218"/>
      <c r="C97" s="214"/>
      <c r="D97" s="217"/>
    </row>
  </sheetData>
  <sheetProtection selectLockedCells="1" selectUnlockedCells="1"/>
  <printOptions gridLines="1"/>
  <pageMargins left="1" right="0" top="0.95" bottom="0.75" header="0.51180555555555596" footer="0.3"/>
  <pageSetup paperSize="9" scale="96" firstPageNumber="0" fitToHeight="0" orientation="portrait" r:id="rId1"/>
  <headerFooter alignWithMargins="0">
    <oddFooter>&amp;R&amp;P/&amp;N</oddFooter>
  </headerFooter>
  <rowBreaks count="2" manualBreakCount="2">
    <brk id="51" max="5" man="1"/>
    <brk id="6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7"/>
  <sheetViews>
    <sheetView tabSelected="1" view="pageBreakPreview" topLeftCell="A24" zoomScaleNormal="100" zoomScaleSheetLayoutView="100" workbookViewId="0">
      <selection activeCell="I27" sqref="I27"/>
    </sheetView>
  </sheetViews>
  <sheetFormatPr defaultRowHeight="12.75"/>
  <cols>
    <col min="1" max="1" width="6.5703125" style="214" customWidth="1"/>
    <col min="2" max="2" width="37.5703125" style="218" customWidth="1"/>
    <col min="3" max="3" width="9.28515625" style="215" customWidth="1"/>
    <col min="4" max="4" width="10.28515625" style="215" customWidth="1"/>
    <col min="5" max="5" width="10.42578125" style="216" bestFit="1" customWidth="1"/>
    <col min="6" max="6" width="11.5703125" style="216" bestFit="1" customWidth="1"/>
    <col min="7" max="8" width="9.140625" style="217"/>
    <col min="9" max="9" width="10.42578125" style="217" bestFit="1" customWidth="1"/>
    <col min="10" max="256" width="9.140625" style="217"/>
    <col min="257" max="257" width="6.5703125" style="217" customWidth="1"/>
    <col min="258" max="258" width="45.85546875" style="217" customWidth="1"/>
    <col min="259" max="259" width="9.28515625" style="217" customWidth="1"/>
    <col min="260" max="260" width="10.28515625" style="217" customWidth="1"/>
    <col min="261" max="261" width="10.42578125" style="217" bestFit="1" customWidth="1"/>
    <col min="262" max="262" width="11.5703125" style="217" bestFit="1" customWidth="1"/>
    <col min="263" max="512" width="9.140625" style="217"/>
    <col min="513" max="513" width="6.5703125" style="217" customWidth="1"/>
    <col min="514" max="514" width="45.85546875" style="217" customWidth="1"/>
    <col min="515" max="515" width="9.28515625" style="217" customWidth="1"/>
    <col min="516" max="516" width="10.28515625" style="217" customWidth="1"/>
    <col min="517" max="517" width="10.42578125" style="217" bestFit="1" customWidth="1"/>
    <col min="518" max="518" width="11.5703125" style="217" bestFit="1" customWidth="1"/>
    <col min="519" max="768" width="9.140625" style="217"/>
    <col min="769" max="769" width="6.5703125" style="217" customWidth="1"/>
    <col min="770" max="770" width="45.85546875" style="217" customWidth="1"/>
    <col min="771" max="771" width="9.28515625" style="217" customWidth="1"/>
    <col min="772" max="772" width="10.28515625" style="217" customWidth="1"/>
    <col min="773" max="773" width="10.42578125" style="217" bestFit="1" customWidth="1"/>
    <col min="774" max="774" width="11.5703125" style="217" bestFit="1" customWidth="1"/>
    <col min="775" max="1024" width="9.140625" style="217"/>
    <col min="1025" max="1025" width="6.5703125" style="217" customWidth="1"/>
    <col min="1026" max="1026" width="45.85546875" style="217" customWidth="1"/>
    <col min="1027" max="1027" width="9.28515625" style="217" customWidth="1"/>
    <col min="1028" max="1028" width="10.28515625" style="217" customWidth="1"/>
    <col min="1029" max="1029" width="10.42578125" style="217" bestFit="1" customWidth="1"/>
    <col min="1030" max="1030" width="11.5703125" style="217" bestFit="1" customWidth="1"/>
    <col min="1031" max="1280" width="9.140625" style="217"/>
    <col min="1281" max="1281" width="6.5703125" style="217" customWidth="1"/>
    <col min="1282" max="1282" width="45.85546875" style="217" customWidth="1"/>
    <col min="1283" max="1283" width="9.28515625" style="217" customWidth="1"/>
    <col min="1284" max="1284" width="10.28515625" style="217" customWidth="1"/>
    <col min="1285" max="1285" width="10.42578125" style="217" bestFit="1" customWidth="1"/>
    <col min="1286" max="1286" width="11.5703125" style="217" bestFit="1" customWidth="1"/>
    <col min="1287" max="1536" width="9.140625" style="217"/>
    <col min="1537" max="1537" width="6.5703125" style="217" customWidth="1"/>
    <col min="1538" max="1538" width="45.85546875" style="217" customWidth="1"/>
    <col min="1539" max="1539" width="9.28515625" style="217" customWidth="1"/>
    <col min="1540" max="1540" width="10.28515625" style="217" customWidth="1"/>
    <col min="1541" max="1541" width="10.42578125" style="217" bestFit="1" customWidth="1"/>
    <col min="1542" max="1542" width="11.5703125" style="217" bestFit="1" customWidth="1"/>
    <col min="1543" max="1792" width="9.140625" style="217"/>
    <col min="1793" max="1793" width="6.5703125" style="217" customWidth="1"/>
    <col min="1794" max="1794" width="45.85546875" style="217" customWidth="1"/>
    <col min="1795" max="1795" width="9.28515625" style="217" customWidth="1"/>
    <col min="1796" max="1796" width="10.28515625" style="217" customWidth="1"/>
    <col min="1797" max="1797" width="10.42578125" style="217" bestFit="1" customWidth="1"/>
    <col min="1798" max="1798" width="11.5703125" style="217" bestFit="1" customWidth="1"/>
    <col min="1799" max="2048" width="9.140625" style="217"/>
    <col min="2049" max="2049" width="6.5703125" style="217" customWidth="1"/>
    <col min="2050" max="2050" width="45.85546875" style="217" customWidth="1"/>
    <col min="2051" max="2051" width="9.28515625" style="217" customWidth="1"/>
    <col min="2052" max="2052" width="10.28515625" style="217" customWidth="1"/>
    <col min="2053" max="2053" width="10.42578125" style="217" bestFit="1" customWidth="1"/>
    <col min="2054" max="2054" width="11.5703125" style="217" bestFit="1" customWidth="1"/>
    <col min="2055" max="2304" width="9.140625" style="217"/>
    <col min="2305" max="2305" width="6.5703125" style="217" customWidth="1"/>
    <col min="2306" max="2306" width="45.85546875" style="217" customWidth="1"/>
    <col min="2307" max="2307" width="9.28515625" style="217" customWidth="1"/>
    <col min="2308" max="2308" width="10.28515625" style="217" customWidth="1"/>
    <col min="2309" max="2309" width="10.42578125" style="217" bestFit="1" customWidth="1"/>
    <col min="2310" max="2310" width="11.5703125" style="217" bestFit="1" customWidth="1"/>
    <col min="2311" max="2560" width="9.140625" style="217"/>
    <col min="2561" max="2561" width="6.5703125" style="217" customWidth="1"/>
    <col min="2562" max="2562" width="45.85546875" style="217" customWidth="1"/>
    <col min="2563" max="2563" width="9.28515625" style="217" customWidth="1"/>
    <col min="2564" max="2564" width="10.28515625" style="217" customWidth="1"/>
    <col min="2565" max="2565" width="10.42578125" style="217" bestFit="1" customWidth="1"/>
    <col min="2566" max="2566" width="11.5703125" style="217" bestFit="1" customWidth="1"/>
    <col min="2567" max="2816" width="9.140625" style="217"/>
    <col min="2817" max="2817" width="6.5703125" style="217" customWidth="1"/>
    <col min="2818" max="2818" width="45.85546875" style="217" customWidth="1"/>
    <col min="2819" max="2819" width="9.28515625" style="217" customWidth="1"/>
    <col min="2820" max="2820" width="10.28515625" style="217" customWidth="1"/>
    <col min="2821" max="2821" width="10.42578125" style="217" bestFit="1" customWidth="1"/>
    <col min="2822" max="2822" width="11.5703125" style="217" bestFit="1" customWidth="1"/>
    <col min="2823" max="3072" width="9.140625" style="217"/>
    <col min="3073" max="3073" width="6.5703125" style="217" customWidth="1"/>
    <col min="3074" max="3074" width="45.85546875" style="217" customWidth="1"/>
    <col min="3075" max="3075" width="9.28515625" style="217" customWidth="1"/>
    <col min="3076" max="3076" width="10.28515625" style="217" customWidth="1"/>
    <col min="3077" max="3077" width="10.42578125" style="217" bestFit="1" customWidth="1"/>
    <col min="3078" max="3078" width="11.5703125" style="217" bestFit="1" customWidth="1"/>
    <col min="3079" max="3328" width="9.140625" style="217"/>
    <col min="3329" max="3329" width="6.5703125" style="217" customWidth="1"/>
    <col min="3330" max="3330" width="45.85546875" style="217" customWidth="1"/>
    <col min="3331" max="3331" width="9.28515625" style="217" customWidth="1"/>
    <col min="3332" max="3332" width="10.28515625" style="217" customWidth="1"/>
    <col min="3333" max="3333" width="10.42578125" style="217" bestFit="1" customWidth="1"/>
    <col min="3334" max="3334" width="11.5703125" style="217" bestFit="1" customWidth="1"/>
    <col min="3335" max="3584" width="9.140625" style="217"/>
    <col min="3585" max="3585" width="6.5703125" style="217" customWidth="1"/>
    <col min="3586" max="3586" width="45.85546875" style="217" customWidth="1"/>
    <col min="3587" max="3587" width="9.28515625" style="217" customWidth="1"/>
    <col min="3588" max="3588" width="10.28515625" style="217" customWidth="1"/>
    <col min="3589" max="3589" width="10.42578125" style="217" bestFit="1" customWidth="1"/>
    <col min="3590" max="3590" width="11.5703125" style="217" bestFit="1" customWidth="1"/>
    <col min="3591" max="3840" width="9.140625" style="217"/>
    <col min="3841" max="3841" width="6.5703125" style="217" customWidth="1"/>
    <col min="3842" max="3842" width="45.85546875" style="217" customWidth="1"/>
    <col min="3843" max="3843" width="9.28515625" style="217" customWidth="1"/>
    <col min="3844" max="3844" width="10.28515625" style="217" customWidth="1"/>
    <col min="3845" max="3845" width="10.42578125" style="217" bestFit="1" customWidth="1"/>
    <col min="3846" max="3846" width="11.5703125" style="217" bestFit="1" customWidth="1"/>
    <col min="3847" max="4096" width="9.140625" style="217"/>
    <col min="4097" max="4097" width="6.5703125" style="217" customWidth="1"/>
    <col min="4098" max="4098" width="45.85546875" style="217" customWidth="1"/>
    <col min="4099" max="4099" width="9.28515625" style="217" customWidth="1"/>
    <col min="4100" max="4100" width="10.28515625" style="217" customWidth="1"/>
    <col min="4101" max="4101" width="10.42578125" style="217" bestFit="1" customWidth="1"/>
    <col min="4102" max="4102" width="11.5703125" style="217" bestFit="1" customWidth="1"/>
    <col min="4103" max="4352" width="9.140625" style="217"/>
    <col min="4353" max="4353" width="6.5703125" style="217" customWidth="1"/>
    <col min="4354" max="4354" width="45.85546875" style="217" customWidth="1"/>
    <col min="4355" max="4355" width="9.28515625" style="217" customWidth="1"/>
    <col min="4356" max="4356" width="10.28515625" style="217" customWidth="1"/>
    <col min="4357" max="4357" width="10.42578125" style="217" bestFit="1" customWidth="1"/>
    <col min="4358" max="4358" width="11.5703125" style="217" bestFit="1" customWidth="1"/>
    <col min="4359" max="4608" width="9.140625" style="217"/>
    <col min="4609" max="4609" width="6.5703125" style="217" customWidth="1"/>
    <col min="4610" max="4610" width="45.85546875" style="217" customWidth="1"/>
    <col min="4611" max="4611" width="9.28515625" style="217" customWidth="1"/>
    <col min="4612" max="4612" width="10.28515625" style="217" customWidth="1"/>
    <col min="4613" max="4613" width="10.42578125" style="217" bestFit="1" customWidth="1"/>
    <col min="4614" max="4614" width="11.5703125" style="217" bestFit="1" customWidth="1"/>
    <col min="4615" max="4864" width="9.140625" style="217"/>
    <col min="4865" max="4865" width="6.5703125" style="217" customWidth="1"/>
    <col min="4866" max="4866" width="45.85546875" style="217" customWidth="1"/>
    <col min="4867" max="4867" width="9.28515625" style="217" customWidth="1"/>
    <col min="4868" max="4868" width="10.28515625" style="217" customWidth="1"/>
    <col min="4869" max="4869" width="10.42578125" style="217" bestFit="1" customWidth="1"/>
    <col min="4870" max="4870" width="11.5703125" style="217" bestFit="1" customWidth="1"/>
    <col min="4871" max="5120" width="9.140625" style="217"/>
    <col min="5121" max="5121" width="6.5703125" style="217" customWidth="1"/>
    <col min="5122" max="5122" width="45.85546875" style="217" customWidth="1"/>
    <col min="5123" max="5123" width="9.28515625" style="217" customWidth="1"/>
    <col min="5124" max="5124" width="10.28515625" style="217" customWidth="1"/>
    <col min="5125" max="5125" width="10.42578125" style="217" bestFit="1" customWidth="1"/>
    <col min="5126" max="5126" width="11.5703125" style="217" bestFit="1" customWidth="1"/>
    <col min="5127" max="5376" width="9.140625" style="217"/>
    <col min="5377" max="5377" width="6.5703125" style="217" customWidth="1"/>
    <col min="5378" max="5378" width="45.85546875" style="217" customWidth="1"/>
    <col min="5379" max="5379" width="9.28515625" style="217" customWidth="1"/>
    <col min="5380" max="5380" width="10.28515625" style="217" customWidth="1"/>
    <col min="5381" max="5381" width="10.42578125" style="217" bestFit="1" customWidth="1"/>
    <col min="5382" max="5382" width="11.5703125" style="217" bestFit="1" customWidth="1"/>
    <col min="5383" max="5632" width="9.140625" style="217"/>
    <col min="5633" max="5633" width="6.5703125" style="217" customWidth="1"/>
    <col min="5634" max="5634" width="45.85546875" style="217" customWidth="1"/>
    <col min="5635" max="5635" width="9.28515625" style="217" customWidth="1"/>
    <col min="5636" max="5636" width="10.28515625" style="217" customWidth="1"/>
    <col min="5637" max="5637" width="10.42578125" style="217" bestFit="1" customWidth="1"/>
    <col min="5638" max="5638" width="11.5703125" style="217" bestFit="1" customWidth="1"/>
    <col min="5639" max="5888" width="9.140625" style="217"/>
    <col min="5889" max="5889" width="6.5703125" style="217" customWidth="1"/>
    <col min="5890" max="5890" width="45.85546875" style="217" customWidth="1"/>
    <col min="5891" max="5891" width="9.28515625" style="217" customWidth="1"/>
    <col min="5892" max="5892" width="10.28515625" style="217" customWidth="1"/>
    <col min="5893" max="5893" width="10.42578125" style="217" bestFit="1" customWidth="1"/>
    <col min="5894" max="5894" width="11.5703125" style="217" bestFit="1" customWidth="1"/>
    <col min="5895" max="6144" width="9.140625" style="217"/>
    <col min="6145" max="6145" width="6.5703125" style="217" customWidth="1"/>
    <col min="6146" max="6146" width="45.85546875" style="217" customWidth="1"/>
    <col min="6147" max="6147" width="9.28515625" style="217" customWidth="1"/>
    <col min="6148" max="6148" width="10.28515625" style="217" customWidth="1"/>
    <col min="6149" max="6149" width="10.42578125" style="217" bestFit="1" customWidth="1"/>
    <col min="6150" max="6150" width="11.5703125" style="217" bestFit="1" customWidth="1"/>
    <col min="6151" max="6400" width="9.140625" style="217"/>
    <col min="6401" max="6401" width="6.5703125" style="217" customWidth="1"/>
    <col min="6402" max="6402" width="45.85546875" style="217" customWidth="1"/>
    <col min="6403" max="6403" width="9.28515625" style="217" customWidth="1"/>
    <col min="6404" max="6404" width="10.28515625" style="217" customWidth="1"/>
    <col min="6405" max="6405" width="10.42578125" style="217" bestFit="1" customWidth="1"/>
    <col min="6406" max="6406" width="11.5703125" style="217" bestFit="1" customWidth="1"/>
    <col min="6407" max="6656" width="9.140625" style="217"/>
    <col min="6657" max="6657" width="6.5703125" style="217" customWidth="1"/>
    <col min="6658" max="6658" width="45.85546875" style="217" customWidth="1"/>
    <col min="6659" max="6659" width="9.28515625" style="217" customWidth="1"/>
    <col min="6660" max="6660" width="10.28515625" style="217" customWidth="1"/>
    <col min="6661" max="6661" width="10.42578125" style="217" bestFit="1" customWidth="1"/>
    <col min="6662" max="6662" width="11.5703125" style="217" bestFit="1" customWidth="1"/>
    <col min="6663" max="6912" width="9.140625" style="217"/>
    <col min="6913" max="6913" width="6.5703125" style="217" customWidth="1"/>
    <col min="6914" max="6914" width="45.85546875" style="217" customWidth="1"/>
    <col min="6915" max="6915" width="9.28515625" style="217" customWidth="1"/>
    <col min="6916" max="6916" width="10.28515625" style="217" customWidth="1"/>
    <col min="6917" max="6917" width="10.42578125" style="217" bestFit="1" customWidth="1"/>
    <col min="6918" max="6918" width="11.5703125" style="217" bestFit="1" customWidth="1"/>
    <col min="6919" max="7168" width="9.140625" style="217"/>
    <col min="7169" max="7169" width="6.5703125" style="217" customWidth="1"/>
    <col min="7170" max="7170" width="45.85546875" style="217" customWidth="1"/>
    <col min="7171" max="7171" width="9.28515625" style="217" customWidth="1"/>
    <col min="7172" max="7172" width="10.28515625" style="217" customWidth="1"/>
    <col min="7173" max="7173" width="10.42578125" style="217" bestFit="1" customWidth="1"/>
    <col min="7174" max="7174" width="11.5703125" style="217" bestFit="1" customWidth="1"/>
    <col min="7175" max="7424" width="9.140625" style="217"/>
    <col min="7425" max="7425" width="6.5703125" style="217" customWidth="1"/>
    <col min="7426" max="7426" width="45.85546875" style="217" customWidth="1"/>
    <col min="7427" max="7427" width="9.28515625" style="217" customWidth="1"/>
    <col min="7428" max="7428" width="10.28515625" style="217" customWidth="1"/>
    <col min="7429" max="7429" width="10.42578125" style="217" bestFit="1" customWidth="1"/>
    <col min="7430" max="7430" width="11.5703125" style="217" bestFit="1" customWidth="1"/>
    <col min="7431" max="7680" width="9.140625" style="217"/>
    <col min="7681" max="7681" width="6.5703125" style="217" customWidth="1"/>
    <col min="7682" max="7682" width="45.85546875" style="217" customWidth="1"/>
    <col min="7683" max="7683" width="9.28515625" style="217" customWidth="1"/>
    <col min="7684" max="7684" width="10.28515625" style="217" customWidth="1"/>
    <col min="7685" max="7685" width="10.42578125" style="217" bestFit="1" customWidth="1"/>
    <col min="7686" max="7686" width="11.5703125" style="217" bestFit="1" customWidth="1"/>
    <col min="7687" max="7936" width="9.140625" style="217"/>
    <col min="7937" max="7937" width="6.5703125" style="217" customWidth="1"/>
    <col min="7938" max="7938" width="45.85546875" style="217" customWidth="1"/>
    <col min="7939" max="7939" width="9.28515625" style="217" customWidth="1"/>
    <col min="7940" max="7940" width="10.28515625" style="217" customWidth="1"/>
    <col min="7941" max="7941" width="10.42578125" style="217" bestFit="1" customWidth="1"/>
    <col min="7942" max="7942" width="11.5703125" style="217" bestFit="1" customWidth="1"/>
    <col min="7943" max="8192" width="9.140625" style="217"/>
    <col min="8193" max="8193" width="6.5703125" style="217" customWidth="1"/>
    <col min="8194" max="8194" width="45.85546875" style="217" customWidth="1"/>
    <col min="8195" max="8195" width="9.28515625" style="217" customWidth="1"/>
    <col min="8196" max="8196" width="10.28515625" style="217" customWidth="1"/>
    <col min="8197" max="8197" width="10.42578125" style="217" bestFit="1" customWidth="1"/>
    <col min="8198" max="8198" width="11.5703125" style="217" bestFit="1" customWidth="1"/>
    <col min="8199" max="8448" width="9.140625" style="217"/>
    <col min="8449" max="8449" width="6.5703125" style="217" customWidth="1"/>
    <col min="8450" max="8450" width="45.85546875" style="217" customWidth="1"/>
    <col min="8451" max="8451" width="9.28515625" style="217" customWidth="1"/>
    <col min="8452" max="8452" width="10.28515625" style="217" customWidth="1"/>
    <col min="8453" max="8453" width="10.42578125" style="217" bestFit="1" customWidth="1"/>
    <col min="8454" max="8454" width="11.5703125" style="217" bestFit="1" customWidth="1"/>
    <col min="8455" max="8704" width="9.140625" style="217"/>
    <col min="8705" max="8705" width="6.5703125" style="217" customWidth="1"/>
    <col min="8706" max="8706" width="45.85546875" style="217" customWidth="1"/>
    <col min="8707" max="8707" width="9.28515625" style="217" customWidth="1"/>
    <col min="8708" max="8708" width="10.28515625" style="217" customWidth="1"/>
    <col min="8709" max="8709" width="10.42578125" style="217" bestFit="1" customWidth="1"/>
    <col min="8710" max="8710" width="11.5703125" style="217" bestFit="1" customWidth="1"/>
    <col min="8711" max="8960" width="9.140625" style="217"/>
    <col min="8961" max="8961" width="6.5703125" style="217" customWidth="1"/>
    <col min="8962" max="8962" width="45.85546875" style="217" customWidth="1"/>
    <col min="8963" max="8963" width="9.28515625" style="217" customWidth="1"/>
    <col min="8964" max="8964" width="10.28515625" style="217" customWidth="1"/>
    <col min="8965" max="8965" width="10.42578125" style="217" bestFit="1" customWidth="1"/>
    <col min="8966" max="8966" width="11.5703125" style="217" bestFit="1" customWidth="1"/>
    <col min="8967" max="9216" width="9.140625" style="217"/>
    <col min="9217" max="9217" width="6.5703125" style="217" customWidth="1"/>
    <col min="9218" max="9218" width="45.85546875" style="217" customWidth="1"/>
    <col min="9219" max="9219" width="9.28515625" style="217" customWidth="1"/>
    <col min="9220" max="9220" width="10.28515625" style="217" customWidth="1"/>
    <col min="9221" max="9221" width="10.42578125" style="217" bestFit="1" customWidth="1"/>
    <col min="9222" max="9222" width="11.5703125" style="217" bestFit="1" customWidth="1"/>
    <col min="9223" max="9472" width="9.140625" style="217"/>
    <col min="9473" max="9473" width="6.5703125" style="217" customWidth="1"/>
    <col min="9474" max="9474" width="45.85546875" style="217" customWidth="1"/>
    <col min="9475" max="9475" width="9.28515625" style="217" customWidth="1"/>
    <col min="9476" max="9476" width="10.28515625" style="217" customWidth="1"/>
    <col min="9477" max="9477" width="10.42578125" style="217" bestFit="1" customWidth="1"/>
    <col min="9478" max="9478" width="11.5703125" style="217" bestFit="1" customWidth="1"/>
    <col min="9479" max="9728" width="9.140625" style="217"/>
    <col min="9729" max="9729" width="6.5703125" style="217" customWidth="1"/>
    <col min="9730" max="9730" width="45.85546875" style="217" customWidth="1"/>
    <col min="9731" max="9731" width="9.28515625" style="217" customWidth="1"/>
    <col min="9732" max="9732" width="10.28515625" style="217" customWidth="1"/>
    <col min="9733" max="9733" width="10.42578125" style="217" bestFit="1" customWidth="1"/>
    <col min="9734" max="9734" width="11.5703125" style="217" bestFit="1" customWidth="1"/>
    <col min="9735" max="9984" width="9.140625" style="217"/>
    <col min="9985" max="9985" width="6.5703125" style="217" customWidth="1"/>
    <col min="9986" max="9986" width="45.85546875" style="217" customWidth="1"/>
    <col min="9987" max="9987" width="9.28515625" style="217" customWidth="1"/>
    <col min="9988" max="9988" width="10.28515625" style="217" customWidth="1"/>
    <col min="9989" max="9989" width="10.42578125" style="217" bestFit="1" customWidth="1"/>
    <col min="9990" max="9990" width="11.5703125" style="217" bestFit="1" customWidth="1"/>
    <col min="9991" max="10240" width="9.140625" style="217"/>
    <col min="10241" max="10241" width="6.5703125" style="217" customWidth="1"/>
    <col min="10242" max="10242" width="45.85546875" style="217" customWidth="1"/>
    <col min="10243" max="10243" width="9.28515625" style="217" customWidth="1"/>
    <col min="10244" max="10244" width="10.28515625" style="217" customWidth="1"/>
    <col min="10245" max="10245" width="10.42578125" style="217" bestFit="1" customWidth="1"/>
    <col min="10246" max="10246" width="11.5703125" style="217" bestFit="1" customWidth="1"/>
    <col min="10247" max="10496" width="9.140625" style="217"/>
    <col min="10497" max="10497" width="6.5703125" style="217" customWidth="1"/>
    <col min="10498" max="10498" width="45.85546875" style="217" customWidth="1"/>
    <col min="10499" max="10499" width="9.28515625" style="217" customWidth="1"/>
    <col min="10500" max="10500" width="10.28515625" style="217" customWidth="1"/>
    <col min="10501" max="10501" width="10.42578125" style="217" bestFit="1" customWidth="1"/>
    <col min="10502" max="10502" width="11.5703125" style="217" bestFit="1" customWidth="1"/>
    <col min="10503" max="10752" width="9.140625" style="217"/>
    <col min="10753" max="10753" width="6.5703125" style="217" customWidth="1"/>
    <col min="10754" max="10754" width="45.85546875" style="217" customWidth="1"/>
    <col min="10755" max="10755" width="9.28515625" style="217" customWidth="1"/>
    <col min="10756" max="10756" width="10.28515625" style="217" customWidth="1"/>
    <col min="10757" max="10757" width="10.42578125" style="217" bestFit="1" customWidth="1"/>
    <col min="10758" max="10758" width="11.5703125" style="217" bestFit="1" customWidth="1"/>
    <col min="10759" max="11008" width="9.140625" style="217"/>
    <col min="11009" max="11009" width="6.5703125" style="217" customWidth="1"/>
    <col min="11010" max="11010" width="45.85546875" style="217" customWidth="1"/>
    <col min="11011" max="11011" width="9.28515625" style="217" customWidth="1"/>
    <col min="11012" max="11012" width="10.28515625" style="217" customWidth="1"/>
    <col min="11013" max="11013" width="10.42578125" style="217" bestFit="1" customWidth="1"/>
    <col min="11014" max="11014" width="11.5703125" style="217" bestFit="1" customWidth="1"/>
    <col min="11015" max="11264" width="9.140625" style="217"/>
    <col min="11265" max="11265" width="6.5703125" style="217" customWidth="1"/>
    <col min="11266" max="11266" width="45.85546875" style="217" customWidth="1"/>
    <col min="11267" max="11267" width="9.28515625" style="217" customWidth="1"/>
    <col min="11268" max="11268" width="10.28515625" style="217" customWidth="1"/>
    <col min="11269" max="11269" width="10.42578125" style="217" bestFit="1" customWidth="1"/>
    <col min="11270" max="11270" width="11.5703125" style="217" bestFit="1" customWidth="1"/>
    <col min="11271" max="11520" width="9.140625" style="217"/>
    <col min="11521" max="11521" width="6.5703125" style="217" customWidth="1"/>
    <col min="11522" max="11522" width="45.85546875" style="217" customWidth="1"/>
    <col min="11523" max="11523" width="9.28515625" style="217" customWidth="1"/>
    <col min="11524" max="11524" width="10.28515625" style="217" customWidth="1"/>
    <col min="11525" max="11525" width="10.42578125" style="217" bestFit="1" customWidth="1"/>
    <col min="11526" max="11526" width="11.5703125" style="217" bestFit="1" customWidth="1"/>
    <col min="11527" max="11776" width="9.140625" style="217"/>
    <col min="11777" max="11777" width="6.5703125" style="217" customWidth="1"/>
    <col min="11778" max="11778" width="45.85546875" style="217" customWidth="1"/>
    <col min="11779" max="11779" width="9.28515625" style="217" customWidth="1"/>
    <col min="11780" max="11780" width="10.28515625" style="217" customWidth="1"/>
    <col min="11781" max="11781" width="10.42578125" style="217" bestFit="1" customWidth="1"/>
    <col min="11782" max="11782" width="11.5703125" style="217" bestFit="1" customWidth="1"/>
    <col min="11783" max="12032" width="9.140625" style="217"/>
    <col min="12033" max="12033" width="6.5703125" style="217" customWidth="1"/>
    <col min="12034" max="12034" width="45.85546875" style="217" customWidth="1"/>
    <col min="12035" max="12035" width="9.28515625" style="217" customWidth="1"/>
    <col min="12036" max="12036" width="10.28515625" style="217" customWidth="1"/>
    <col min="12037" max="12037" width="10.42578125" style="217" bestFit="1" customWidth="1"/>
    <col min="12038" max="12038" width="11.5703125" style="217" bestFit="1" customWidth="1"/>
    <col min="12039" max="12288" width="9.140625" style="217"/>
    <col min="12289" max="12289" width="6.5703125" style="217" customWidth="1"/>
    <col min="12290" max="12290" width="45.85546875" style="217" customWidth="1"/>
    <col min="12291" max="12291" width="9.28515625" style="217" customWidth="1"/>
    <col min="12292" max="12292" width="10.28515625" style="217" customWidth="1"/>
    <col min="12293" max="12293" width="10.42578125" style="217" bestFit="1" customWidth="1"/>
    <col min="12294" max="12294" width="11.5703125" style="217" bestFit="1" customWidth="1"/>
    <col min="12295" max="12544" width="9.140625" style="217"/>
    <col min="12545" max="12545" width="6.5703125" style="217" customWidth="1"/>
    <col min="12546" max="12546" width="45.85546875" style="217" customWidth="1"/>
    <col min="12547" max="12547" width="9.28515625" style="217" customWidth="1"/>
    <col min="12548" max="12548" width="10.28515625" style="217" customWidth="1"/>
    <col min="12549" max="12549" width="10.42578125" style="217" bestFit="1" customWidth="1"/>
    <col min="12550" max="12550" width="11.5703125" style="217" bestFit="1" customWidth="1"/>
    <col min="12551" max="12800" width="9.140625" style="217"/>
    <col min="12801" max="12801" width="6.5703125" style="217" customWidth="1"/>
    <col min="12802" max="12802" width="45.85546875" style="217" customWidth="1"/>
    <col min="12803" max="12803" width="9.28515625" style="217" customWidth="1"/>
    <col min="12804" max="12804" width="10.28515625" style="217" customWidth="1"/>
    <col min="12805" max="12805" width="10.42578125" style="217" bestFit="1" customWidth="1"/>
    <col min="12806" max="12806" width="11.5703125" style="217" bestFit="1" customWidth="1"/>
    <col min="12807" max="13056" width="9.140625" style="217"/>
    <col min="13057" max="13057" width="6.5703125" style="217" customWidth="1"/>
    <col min="13058" max="13058" width="45.85546875" style="217" customWidth="1"/>
    <col min="13059" max="13059" width="9.28515625" style="217" customWidth="1"/>
    <col min="13060" max="13060" width="10.28515625" style="217" customWidth="1"/>
    <col min="13061" max="13061" width="10.42578125" style="217" bestFit="1" customWidth="1"/>
    <col min="13062" max="13062" width="11.5703125" style="217" bestFit="1" customWidth="1"/>
    <col min="13063" max="13312" width="9.140625" style="217"/>
    <col min="13313" max="13313" width="6.5703125" style="217" customWidth="1"/>
    <col min="13314" max="13314" width="45.85546875" style="217" customWidth="1"/>
    <col min="13315" max="13315" width="9.28515625" style="217" customWidth="1"/>
    <col min="13316" max="13316" width="10.28515625" style="217" customWidth="1"/>
    <col min="13317" max="13317" width="10.42578125" style="217" bestFit="1" customWidth="1"/>
    <col min="13318" max="13318" width="11.5703125" style="217" bestFit="1" customWidth="1"/>
    <col min="13319" max="13568" width="9.140625" style="217"/>
    <col min="13569" max="13569" width="6.5703125" style="217" customWidth="1"/>
    <col min="13570" max="13570" width="45.85546875" style="217" customWidth="1"/>
    <col min="13571" max="13571" width="9.28515625" style="217" customWidth="1"/>
    <col min="13572" max="13572" width="10.28515625" style="217" customWidth="1"/>
    <col min="13573" max="13573" width="10.42578125" style="217" bestFit="1" customWidth="1"/>
    <col min="13574" max="13574" width="11.5703125" style="217" bestFit="1" customWidth="1"/>
    <col min="13575" max="13824" width="9.140625" style="217"/>
    <col min="13825" max="13825" width="6.5703125" style="217" customWidth="1"/>
    <col min="13826" max="13826" width="45.85546875" style="217" customWidth="1"/>
    <col min="13827" max="13827" width="9.28515625" style="217" customWidth="1"/>
    <col min="13828" max="13828" width="10.28515625" style="217" customWidth="1"/>
    <col min="13829" max="13829" width="10.42578125" style="217" bestFit="1" customWidth="1"/>
    <col min="13830" max="13830" width="11.5703125" style="217" bestFit="1" customWidth="1"/>
    <col min="13831" max="14080" width="9.140625" style="217"/>
    <col min="14081" max="14081" width="6.5703125" style="217" customWidth="1"/>
    <col min="14082" max="14082" width="45.85546875" style="217" customWidth="1"/>
    <col min="14083" max="14083" width="9.28515625" style="217" customWidth="1"/>
    <col min="14084" max="14084" width="10.28515625" style="217" customWidth="1"/>
    <col min="14085" max="14085" width="10.42578125" style="217" bestFit="1" customWidth="1"/>
    <col min="14086" max="14086" width="11.5703125" style="217" bestFit="1" customWidth="1"/>
    <col min="14087" max="14336" width="9.140625" style="217"/>
    <col min="14337" max="14337" width="6.5703125" style="217" customWidth="1"/>
    <col min="14338" max="14338" width="45.85546875" style="217" customWidth="1"/>
    <col min="14339" max="14339" width="9.28515625" style="217" customWidth="1"/>
    <col min="14340" max="14340" width="10.28515625" style="217" customWidth="1"/>
    <col min="14341" max="14341" width="10.42578125" style="217" bestFit="1" customWidth="1"/>
    <col min="14342" max="14342" width="11.5703125" style="217" bestFit="1" customWidth="1"/>
    <col min="14343" max="14592" width="9.140625" style="217"/>
    <col min="14593" max="14593" width="6.5703125" style="217" customWidth="1"/>
    <col min="14594" max="14594" width="45.85546875" style="217" customWidth="1"/>
    <col min="14595" max="14595" width="9.28515625" style="217" customWidth="1"/>
    <col min="14596" max="14596" width="10.28515625" style="217" customWidth="1"/>
    <col min="14597" max="14597" width="10.42578125" style="217" bestFit="1" customWidth="1"/>
    <col min="14598" max="14598" width="11.5703125" style="217" bestFit="1" customWidth="1"/>
    <col min="14599" max="14848" width="9.140625" style="217"/>
    <col min="14849" max="14849" width="6.5703125" style="217" customWidth="1"/>
    <col min="14850" max="14850" width="45.85546875" style="217" customWidth="1"/>
    <col min="14851" max="14851" width="9.28515625" style="217" customWidth="1"/>
    <col min="14852" max="14852" width="10.28515625" style="217" customWidth="1"/>
    <col min="14853" max="14853" width="10.42578125" style="217" bestFit="1" customWidth="1"/>
    <col min="14854" max="14854" width="11.5703125" style="217" bestFit="1" customWidth="1"/>
    <col min="14855" max="15104" width="9.140625" style="217"/>
    <col min="15105" max="15105" width="6.5703125" style="217" customWidth="1"/>
    <col min="15106" max="15106" width="45.85546875" style="217" customWidth="1"/>
    <col min="15107" max="15107" width="9.28515625" style="217" customWidth="1"/>
    <col min="15108" max="15108" width="10.28515625" style="217" customWidth="1"/>
    <col min="15109" max="15109" width="10.42578125" style="217" bestFit="1" customWidth="1"/>
    <col min="15110" max="15110" width="11.5703125" style="217" bestFit="1" customWidth="1"/>
    <col min="15111" max="15360" width="9.140625" style="217"/>
    <col min="15361" max="15361" width="6.5703125" style="217" customWidth="1"/>
    <col min="15362" max="15362" width="45.85546875" style="217" customWidth="1"/>
    <col min="15363" max="15363" width="9.28515625" style="217" customWidth="1"/>
    <col min="15364" max="15364" width="10.28515625" style="217" customWidth="1"/>
    <col min="15365" max="15365" width="10.42578125" style="217" bestFit="1" customWidth="1"/>
    <col min="15366" max="15366" width="11.5703125" style="217" bestFit="1" customWidth="1"/>
    <col min="15367" max="15616" width="9.140625" style="217"/>
    <col min="15617" max="15617" width="6.5703125" style="217" customWidth="1"/>
    <col min="15618" max="15618" width="45.85546875" style="217" customWidth="1"/>
    <col min="15619" max="15619" width="9.28515625" style="217" customWidth="1"/>
    <col min="15620" max="15620" width="10.28515625" style="217" customWidth="1"/>
    <col min="15621" max="15621" width="10.42578125" style="217" bestFit="1" customWidth="1"/>
    <col min="15622" max="15622" width="11.5703125" style="217" bestFit="1" customWidth="1"/>
    <col min="15623" max="15872" width="9.140625" style="217"/>
    <col min="15873" max="15873" width="6.5703125" style="217" customWidth="1"/>
    <col min="15874" max="15874" width="45.85546875" style="217" customWidth="1"/>
    <col min="15875" max="15875" width="9.28515625" style="217" customWidth="1"/>
    <col min="15876" max="15876" width="10.28515625" style="217" customWidth="1"/>
    <col min="15877" max="15877" width="10.42578125" style="217" bestFit="1" customWidth="1"/>
    <col min="15878" max="15878" width="11.5703125" style="217" bestFit="1" customWidth="1"/>
    <col min="15879" max="16128" width="9.140625" style="217"/>
    <col min="16129" max="16129" width="6.5703125" style="217" customWidth="1"/>
    <col min="16130" max="16130" width="45.85546875" style="217" customWidth="1"/>
    <col min="16131" max="16131" width="9.28515625" style="217" customWidth="1"/>
    <col min="16132" max="16132" width="10.28515625" style="217" customWidth="1"/>
    <col min="16133" max="16133" width="10.42578125" style="217" bestFit="1" customWidth="1"/>
    <col min="16134" max="16134" width="11.5703125" style="217" bestFit="1" customWidth="1"/>
    <col min="16135" max="16384" width="9.140625" style="217"/>
  </cols>
  <sheetData>
    <row r="1" spans="1:11" s="21" customFormat="1" ht="76.5">
      <c r="A1" s="16"/>
      <c r="B1" s="17" t="s">
        <v>41</v>
      </c>
      <c r="C1" s="15"/>
      <c r="D1" s="18"/>
      <c r="E1" s="19"/>
      <c r="F1" s="18"/>
      <c r="G1" s="18"/>
      <c r="H1" s="18"/>
      <c r="I1" s="19"/>
      <c r="J1" s="18"/>
      <c r="K1" s="18"/>
    </row>
    <row r="2" spans="1:11" s="21" customFormat="1">
      <c r="A2" s="16"/>
      <c r="B2" s="17"/>
      <c r="C2" s="15"/>
      <c r="D2" s="18"/>
      <c r="E2" s="19"/>
      <c r="F2" s="18"/>
      <c r="G2" s="18"/>
      <c r="H2" s="18"/>
      <c r="I2" s="19"/>
      <c r="J2" s="18"/>
      <c r="K2" s="18"/>
    </row>
    <row r="3" spans="1:11" s="21" customFormat="1" ht="114.75">
      <c r="A3" s="3"/>
      <c r="B3" s="2" t="s">
        <v>476</v>
      </c>
      <c r="C3" s="48"/>
      <c r="D3" s="34"/>
      <c r="E3" s="46"/>
      <c r="F3" s="49"/>
      <c r="G3" s="49"/>
      <c r="H3" s="49"/>
      <c r="I3" s="46"/>
      <c r="J3" s="49"/>
      <c r="K3" s="49"/>
    </row>
    <row r="5" spans="1:11">
      <c r="A5" s="212"/>
      <c r="B5" s="222" t="s">
        <v>425</v>
      </c>
      <c r="C5" s="214"/>
    </row>
    <row r="6" spans="1:11" ht="30" customHeight="1">
      <c r="A6" s="212"/>
      <c r="B6" s="222" t="s">
        <v>451</v>
      </c>
      <c r="C6" s="214"/>
    </row>
    <row r="7" spans="1:11">
      <c r="A7" s="212"/>
      <c r="B7" s="222"/>
      <c r="C7" s="214"/>
    </row>
    <row r="8" spans="1:11" s="260" customFormat="1" ht="25.5">
      <c r="A8" s="258" t="s">
        <v>427</v>
      </c>
      <c r="B8" s="258" t="s">
        <v>450</v>
      </c>
      <c r="C8" s="259" t="s">
        <v>428</v>
      </c>
      <c r="D8" s="354" t="s">
        <v>596</v>
      </c>
      <c r="E8" s="355" t="s">
        <v>594</v>
      </c>
      <c r="F8" s="355" t="s">
        <v>595</v>
      </c>
    </row>
    <row r="9" spans="1:11">
      <c r="A9" s="261">
        <v>1</v>
      </c>
      <c r="B9" s="222" t="s">
        <v>452</v>
      </c>
      <c r="C9" s="214"/>
      <c r="D9" s="262"/>
    </row>
    <row r="10" spans="1:11">
      <c r="A10" s="261"/>
      <c r="B10" s="222"/>
      <c r="C10" s="214"/>
      <c r="D10" s="262"/>
    </row>
    <row r="11" spans="1:11" ht="178.5">
      <c r="A11" s="212">
        <v>1.1000000000000001</v>
      </c>
      <c r="B11" s="242" t="s">
        <v>586</v>
      </c>
      <c r="C11" s="214"/>
    </row>
    <row r="12" spans="1:11" ht="14.25" customHeight="1">
      <c r="A12" s="212"/>
      <c r="B12" s="218" t="s">
        <v>587</v>
      </c>
      <c r="C12" s="241" t="s">
        <v>431</v>
      </c>
      <c r="D12" s="263">
        <f>(1.85+1+0.6+2.55+0.8)</f>
        <v>6.8</v>
      </c>
      <c r="F12" s="216">
        <f>D12*E12</f>
        <v>0</v>
      </c>
    </row>
    <row r="13" spans="1:11" ht="13.5" customHeight="1">
      <c r="A13" s="212"/>
      <c r="B13" s="218" t="s">
        <v>588</v>
      </c>
      <c r="C13" s="241" t="s">
        <v>431</v>
      </c>
      <c r="D13" s="263">
        <f>(1.15+16.7+1.15)</f>
        <v>18.999999999999996</v>
      </c>
      <c r="F13" s="216">
        <f>D13*E13</f>
        <v>0</v>
      </c>
    </row>
    <row r="14" spans="1:11" ht="30.6" customHeight="1">
      <c r="A14" s="212">
        <v>1.2</v>
      </c>
      <c r="B14" s="218" t="s">
        <v>453</v>
      </c>
      <c r="C14" s="241"/>
      <c r="D14" s="218"/>
    </row>
    <row r="15" spans="1:11" ht="15" customHeight="1">
      <c r="B15" s="218" t="s">
        <v>454</v>
      </c>
      <c r="C15" s="241" t="s">
        <v>32</v>
      </c>
      <c r="D15" s="218">
        <v>2</v>
      </c>
      <c r="F15" s="216">
        <f>D15*E15</f>
        <v>0</v>
      </c>
    </row>
    <row r="16" spans="1:11" ht="153">
      <c r="A16" s="212">
        <v>1.3</v>
      </c>
      <c r="B16" s="242" t="s">
        <v>455</v>
      </c>
      <c r="C16" s="241"/>
      <c r="D16" s="218"/>
    </row>
    <row r="17" spans="1:9" ht="15" customHeight="1">
      <c r="A17" s="212"/>
      <c r="B17" s="218" t="s">
        <v>456</v>
      </c>
      <c r="C17" s="241" t="s">
        <v>32</v>
      </c>
      <c r="D17" s="218">
        <v>2</v>
      </c>
      <c r="F17" s="216">
        <f>D17*E17</f>
        <v>0</v>
      </c>
    </row>
    <row r="18" spans="1:9" ht="27.6" customHeight="1">
      <c r="A18" s="212">
        <v>1.4</v>
      </c>
      <c r="B18" s="264" t="s">
        <v>457</v>
      </c>
      <c r="C18" s="377" t="s">
        <v>431</v>
      </c>
      <c r="D18" s="380">
        <f>D12+D13</f>
        <v>25.799999999999997</v>
      </c>
      <c r="E18" s="381"/>
      <c r="F18" s="381">
        <f>D18*E18</f>
        <v>0</v>
      </c>
      <c r="H18" s="217">
        <f>12000/D18</f>
        <v>465.11627906976747</v>
      </c>
    </row>
    <row r="19" spans="1:9" ht="42.6" customHeight="1">
      <c r="A19" s="212">
        <v>1.5</v>
      </c>
      <c r="B19" s="264" t="s">
        <v>458</v>
      </c>
      <c r="C19" s="377" t="s">
        <v>431</v>
      </c>
      <c r="D19" s="380">
        <f>D12+D13</f>
        <v>25.799999999999997</v>
      </c>
      <c r="E19" s="381"/>
      <c r="F19" s="381">
        <f>D19*E19</f>
        <v>0</v>
      </c>
    </row>
    <row r="20" spans="1:9" s="379" customFormat="1" ht="42.6" customHeight="1">
      <c r="A20" s="375">
        <v>1.6</v>
      </c>
      <c r="B20" s="376" t="s">
        <v>618</v>
      </c>
      <c r="C20" s="377" t="s">
        <v>32</v>
      </c>
      <c r="D20" s="378">
        <v>2</v>
      </c>
      <c r="E20" s="382"/>
      <c r="F20" s="382">
        <f>D20*E20</f>
        <v>0</v>
      </c>
    </row>
    <row r="21" spans="1:9" ht="27.6" customHeight="1">
      <c r="A21" s="212"/>
      <c r="B21" s="218" t="s">
        <v>459</v>
      </c>
      <c r="C21" s="241"/>
      <c r="D21" s="218"/>
      <c r="E21" s="381"/>
      <c r="F21" s="381"/>
    </row>
    <row r="22" spans="1:9">
      <c r="A22" s="212"/>
      <c r="B22" s="265"/>
      <c r="C22" s="266"/>
      <c r="D22" s="265"/>
      <c r="E22" s="383"/>
      <c r="F22" s="383"/>
    </row>
    <row r="23" spans="1:9">
      <c r="C23" s="215" t="s">
        <v>569</v>
      </c>
      <c r="E23" s="381"/>
      <c r="F23" s="381">
        <f>SUM(F11:F21)</f>
        <v>0</v>
      </c>
      <c r="H23" s="217">
        <v>144600</v>
      </c>
      <c r="I23" s="216">
        <f>H23-F23</f>
        <v>144600</v>
      </c>
    </row>
    <row r="25" spans="1:9">
      <c r="A25" s="213">
        <v>2</v>
      </c>
      <c r="B25" s="222" t="s">
        <v>460</v>
      </c>
      <c r="C25" s="267"/>
      <c r="D25" s="242"/>
    </row>
    <row r="26" spans="1:9">
      <c r="A26" s="212"/>
      <c r="C26" s="214"/>
    </row>
    <row r="27" spans="1:9" ht="191.25">
      <c r="A27" s="229">
        <v>2.1</v>
      </c>
      <c r="B27" s="218" t="s">
        <v>461</v>
      </c>
      <c r="C27" s="214"/>
      <c r="D27" s="224"/>
    </row>
    <row r="28" spans="1:9" ht="12" customHeight="1">
      <c r="A28" s="217"/>
      <c r="B28" s="218" t="s">
        <v>462</v>
      </c>
      <c r="C28" s="217"/>
      <c r="D28" s="217"/>
    </row>
    <row r="29" spans="1:9" ht="41.45" customHeight="1">
      <c r="A29" s="212"/>
      <c r="B29" s="218" t="s">
        <v>463</v>
      </c>
      <c r="C29" s="241" t="s">
        <v>15</v>
      </c>
      <c r="D29" s="223">
        <f>2*4.5</f>
        <v>9</v>
      </c>
      <c r="F29" s="216">
        <f>D29*E29</f>
        <v>0</v>
      </c>
    </row>
    <row r="30" spans="1:9" ht="27.6" customHeight="1">
      <c r="A30" s="212">
        <v>2.2000000000000002</v>
      </c>
      <c r="B30" s="218" t="s">
        <v>464</v>
      </c>
      <c r="C30" s="267"/>
    </row>
    <row r="31" spans="1:9">
      <c r="A31" s="245"/>
      <c r="B31" s="265" t="s">
        <v>465</v>
      </c>
      <c r="C31" s="266" t="s">
        <v>32</v>
      </c>
      <c r="D31" s="268">
        <v>2</v>
      </c>
      <c r="E31" s="235"/>
      <c r="F31" s="235">
        <f>D31*E31</f>
        <v>0</v>
      </c>
    </row>
    <row r="32" spans="1:9">
      <c r="A32" s="212"/>
      <c r="C32" s="215" t="s">
        <v>569</v>
      </c>
      <c r="D32" s="224"/>
      <c r="F32" s="216">
        <f>SUM(F29:F31)</f>
        <v>0</v>
      </c>
    </row>
    <row r="33" spans="1:6">
      <c r="A33" s="217"/>
      <c r="C33" s="217"/>
      <c r="D33" s="217"/>
    </row>
    <row r="34" spans="1:6">
      <c r="A34" s="217"/>
      <c r="C34" s="217"/>
      <c r="D34" s="217"/>
    </row>
    <row r="35" spans="1:6">
      <c r="C35" s="217"/>
      <c r="D35" s="217"/>
    </row>
    <row r="36" spans="1:6" ht="25.5">
      <c r="B36" s="222" t="s">
        <v>466</v>
      </c>
      <c r="C36" s="217"/>
      <c r="D36" s="217"/>
    </row>
    <row r="37" spans="1:6">
      <c r="C37" s="217"/>
      <c r="D37" s="217"/>
    </row>
    <row r="38" spans="1:6">
      <c r="C38" s="217"/>
      <c r="D38" s="217"/>
    </row>
    <row r="39" spans="1:6">
      <c r="A39" s="214">
        <v>1</v>
      </c>
      <c r="B39" s="218" t="s">
        <v>467</v>
      </c>
      <c r="C39" s="217"/>
      <c r="D39" s="217"/>
      <c r="F39" s="216">
        <f>F23</f>
        <v>0</v>
      </c>
    </row>
    <row r="40" spans="1:6">
      <c r="A40" s="247">
        <v>2</v>
      </c>
      <c r="B40" s="265" t="s">
        <v>468</v>
      </c>
      <c r="C40" s="249"/>
      <c r="D40" s="249"/>
      <c r="E40" s="235"/>
      <c r="F40" s="235">
        <f>F32</f>
        <v>0</v>
      </c>
    </row>
    <row r="41" spans="1:6">
      <c r="B41" s="390" t="s">
        <v>597</v>
      </c>
      <c r="C41" s="217"/>
      <c r="D41" s="217"/>
      <c r="F41" s="216">
        <f>SUM(F39:F40)</f>
        <v>0</v>
      </c>
    </row>
    <row r="42" spans="1:6">
      <c r="A42" s="212"/>
      <c r="C42" s="217"/>
      <c r="D42" s="217"/>
    </row>
    <row r="43" spans="1:6">
      <c r="A43" s="212"/>
      <c r="C43" s="217"/>
      <c r="D43" s="217"/>
    </row>
    <row r="44" spans="1:6">
      <c r="A44" s="212"/>
      <c r="C44" s="217"/>
      <c r="D44" s="217"/>
    </row>
    <row r="45" spans="1:6">
      <c r="A45" s="212"/>
      <c r="C45" s="217"/>
      <c r="D45" s="217"/>
    </row>
    <row r="46" spans="1:6">
      <c r="A46" s="212"/>
      <c r="C46" s="217"/>
      <c r="D46" s="217"/>
    </row>
    <row r="47" spans="1:6">
      <c r="A47" s="212"/>
      <c r="C47" s="217"/>
      <c r="D47" s="217"/>
    </row>
    <row r="48" spans="1:6">
      <c r="A48" s="212"/>
      <c r="C48" s="217"/>
      <c r="D48" s="217"/>
    </row>
    <row r="49" spans="1:4">
      <c r="A49" s="212"/>
      <c r="C49" s="217"/>
      <c r="D49" s="217"/>
    </row>
    <row r="50" spans="1:4">
      <c r="A50" s="212"/>
      <c r="C50" s="217"/>
      <c r="D50" s="217"/>
    </row>
    <row r="51" spans="1:4">
      <c r="A51" s="212"/>
      <c r="C51" s="217"/>
      <c r="D51" s="217"/>
    </row>
    <row r="52" spans="1:4">
      <c r="A52" s="212"/>
      <c r="C52" s="217"/>
      <c r="D52" s="217"/>
    </row>
    <row r="53" spans="1:4">
      <c r="A53" s="212"/>
      <c r="C53" s="217"/>
      <c r="D53" s="217"/>
    </row>
    <row r="54" spans="1:4">
      <c r="A54" s="212"/>
      <c r="B54" s="217"/>
      <c r="C54" s="214"/>
    </row>
    <row r="55" spans="1:4">
      <c r="A55" s="212"/>
      <c r="C55" s="217"/>
      <c r="D55" s="217"/>
    </row>
    <row r="56" spans="1:4">
      <c r="A56" s="212"/>
      <c r="C56" s="217"/>
      <c r="D56" s="217"/>
    </row>
    <row r="57" spans="1:4">
      <c r="A57" s="212"/>
      <c r="C57" s="214"/>
    </row>
    <row r="58" spans="1:4">
      <c r="A58" s="212"/>
      <c r="C58" s="214"/>
    </row>
    <row r="59" spans="1:4">
      <c r="A59" s="212"/>
      <c r="C59" s="214"/>
    </row>
    <row r="60" spans="1:4">
      <c r="A60" s="212"/>
      <c r="C60" s="214"/>
    </row>
    <row r="61" spans="1:4">
      <c r="A61" s="212"/>
      <c r="C61" s="214"/>
    </row>
    <row r="62" spans="1:4">
      <c r="A62" s="212"/>
      <c r="C62" s="214"/>
    </row>
    <row r="63" spans="1:4">
      <c r="A63" s="212"/>
      <c r="C63" s="214"/>
    </row>
    <row r="64" spans="1:4">
      <c r="A64" s="212"/>
      <c r="C64" s="214"/>
    </row>
    <row r="65" spans="1:4">
      <c r="A65" s="212"/>
      <c r="C65" s="214"/>
    </row>
    <row r="66" spans="1:4">
      <c r="A66" s="212"/>
      <c r="C66" s="214"/>
      <c r="D66" s="217"/>
    </row>
    <row r="67" spans="1:4">
      <c r="A67" s="212"/>
      <c r="C67" s="214"/>
      <c r="D67" s="217"/>
    </row>
    <row r="68" spans="1:4">
      <c r="A68" s="212"/>
      <c r="C68" s="269"/>
      <c r="D68" s="217"/>
    </row>
    <row r="69" spans="1:4">
      <c r="A69" s="212"/>
      <c r="C69" s="269"/>
    </row>
    <row r="70" spans="1:4">
      <c r="A70" s="212"/>
      <c r="C70" s="214"/>
      <c r="D70" s="214"/>
    </row>
    <row r="71" spans="1:4">
      <c r="A71" s="212"/>
      <c r="C71" s="214"/>
    </row>
    <row r="72" spans="1:4">
      <c r="A72" s="212"/>
      <c r="C72" s="214"/>
    </row>
    <row r="73" spans="1:4">
      <c r="A73" s="212"/>
      <c r="C73" s="214"/>
    </row>
    <row r="74" spans="1:4">
      <c r="A74" s="212"/>
      <c r="C74" s="214"/>
    </row>
    <row r="75" spans="1:4">
      <c r="A75" s="212"/>
      <c r="C75" s="214"/>
    </row>
    <row r="76" spans="1:4">
      <c r="A76" s="212"/>
      <c r="C76" s="214"/>
    </row>
    <row r="77" spans="1:4">
      <c r="A77" s="212"/>
      <c r="C77" s="214"/>
    </row>
    <row r="78" spans="1:4">
      <c r="A78" s="212"/>
      <c r="C78" s="214"/>
    </row>
    <row r="79" spans="1:4">
      <c r="A79" s="212"/>
      <c r="C79" s="214"/>
    </row>
    <row r="80" spans="1:4">
      <c r="A80" s="212"/>
      <c r="C80" s="214"/>
    </row>
    <row r="81" spans="1:4">
      <c r="A81" s="212"/>
      <c r="D81" s="217"/>
    </row>
    <row r="82" spans="1:4">
      <c r="A82" s="212"/>
      <c r="D82" s="217"/>
    </row>
    <row r="83" spans="1:4">
      <c r="D83" s="217"/>
    </row>
    <row r="84" spans="1:4">
      <c r="D84" s="217"/>
    </row>
    <row r="85" spans="1:4">
      <c r="D85" s="217"/>
    </row>
    <row r="86" spans="1:4">
      <c r="D86" s="217"/>
    </row>
    <row r="87" spans="1:4">
      <c r="D87" s="217"/>
    </row>
    <row r="88" spans="1:4">
      <c r="D88" s="217"/>
    </row>
    <row r="89" spans="1:4">
      <c r="D89" s="217"/>
    </row>
    <row r="90" spans="1:4">
      <c r="D90" s="217"/>
    </row>
    <row r="91" spans="1:4">
      <c r="D91" s="217"/>
    </row>
    <row r="92" spans="1:4">
      <c r="D92" s="217"/>
    </row>
    <row r="93" spans="1:4">
      <c r="D93" s="217"/>
    </row>
    <row r="94" spans="1:4">
      <c r="D94" s="217"/>
    </row>
    <row r="95" spans="1:4">
      <c r="D95" s="217"/>
    </row>
    <row r="96" spans="1:4">
      <c r="D96" s="217"/>
    </row>
    <row r="97" spans="4:4">
      <c r="D97" s="217"/>
    </row>
    <row r="98" spans="4:4">
      <c r="D98" s="217"/>
    </row>
    <row r="99" spans="4:4">
      <c r="D99" s="217"/>
    </row>
    <row r="100" spans="4:4">
      <c r="D100" s="217"/>
    </row>
    <row r="101" spans="4:4">
      <c r="D101" s="217"/>
    </row>
    <row r="102" spans="4:4">
      <c r="D102" s="217"/>
    </row>
    <row r="103" spans="4:4">
      <c r="D103" s="217"/>
    </row>
    <row r="104" spans="4:4">
      <c r="D104" s="217"/>
    </row>
    <row r="105" spans="4:4">
      <c r="D105" s="217"/>
    </row>
    <row r="106" spans="4:4">
      <c r="D106" s="217"/>
    </row>
    <row r="107" spans="4:4">
      <c r="D107" s="217"/>
    </row>
    <row r="108" spans="4:4">
      <c r="D108" s="217"/>
    </row>
    <row r="109" spans="4:4">
      <c r="D109" s="217"/>
    </row>
    <row r="110" spans="4:4">
      <c r="D110" s="217"/>
    </row>
    <row r="111" spans="4:4">
      <c r="D111" s="217"/>
    </row>
    <row r="112" spans="4:4">
      <c r="D112" s="217"/>
    </row>
    <row r="113" spans="4:4">
      <c r="D113" s="217"/>
    </row>
    <row r="114" spans="4:4">
      <c r="D114" s="217"/>
    </row>
    <row r="115" spans="4:4">
      <c r="D115" s="217"/>
    </row>
    <row r="116" spans="4:4">
      <c r="D116" s="217"/>
    </row>
    <row r="117" spans="4:4">
      <c r="D117" s="217"/>
    </row>
    <row r="118" spans="4:4">
      <c r="D118" s="217"/>
    </row>
    <row r="119" spans="4:4">
      <c r="D119" s="217"/>
    </row>
    <row r="120" spans="4:4">
      <c r="D120" s="217"/>
    </row>
    <row r="121" spans="4:4">
      <c r="D121" s="217"/>
    </row>
    <row r="122" spans="4:4">
      <c r="D122" s="217"/>
    </row>
    <row r="123" spans="4:4">
      <c r="D123" s="217"/>
    </row>
    <row r="124" spans="4:4">
      <c r="D124" s="217"/>
    </row>
    <row r="125" spans="4:4">
      <c r="D125" s="217"/>
    </row>
    <row r="126" spans="4:4">
      <c r="D126" s="217"/>
    </row>
    <row r="127" spans="4:4">
      <c r="D127" s="217"/>
    </row>
    <row r="128" spans="4:4">
      <c r="D128" s="217"/>
    </row>
    <row r="129" spans="4:4">
      <c r="D129" s="217"/>
    </row>
    <row r="130" spans="4:4">
      <c r="D130" s="217"/>
    </row>
    <row r="131" spans="4:4">
      <c r="D131" s="217"/>
    </row>
    <row r="132" spans="4:4">
      <c r="D132" s="217"/>
    </row>
    <row r="133" spans="4:4">
      <c r="D133" s="217"/>
    </row>
    <row r="134" spans="4:4">
      <c r="D134" s="217"/>
    </row>
    <row r="135" spans="4:4">
      <c r="D135" s="217"/>
    </row>
    <row r="136" spans="4:4">
      <c r="D136" s="217"/>
    </row>
    <row r="137" spans="4:4">
      <c r="D137" s="217"/>
    </row>
    <row r="138" spans="4:4">
      <c r="D138" s="217"/>
    </row>
    <row r="139" spans="4:4">
      <c r="D139" s="217"/>
    </row>
    <row r="140" spans="4:4">
      <c r="D140" s="217"/>
    </row>
    <row r="141" spans="4:4">
      <c r="D141" s="217"/>
    </row>
    <row r="142" spans="4:4">
      <c r="D142" s="217"/>
    </row>
    <row r="143" spans="4:4">
      <c r="D143" s="217"/>
    </row>
    <row r="144" spans="4:4">
      <c r="D144" s="217"/>
    </row>
    <row r="145" spans="4:4">
      <c r="D145" s="217"/>
    </row>
    <row r="146" spans="4:4">
      <c r="D146" s="217"/>
    </row>
    <row r="147" spans="4:4">
      <c r="D147" s="217"/>
    </row>
    <row r="148" spans="4:4">
      <c r="D148" s="217"/>
    </row>
    <row r="149" spans="4:4">
      <c r="D149" s="217"/>
    </row>
    <row r="150" spans="4:4">
      <c r="D150" s="217"/>
    </row>
    <row r="151" spans="4:4">
      <c r="D151" s="217"/>
    </row>
    <row r="152" spans="4:4">
      <c r="D152" s="217"/>
    </row>
    <row r="153" spans="4:4">
      <c r="D153" s="217"/>
    </row>
    <row r="154" spans="4:4">
      <c r="D154" s="217"/>
    </row>
    <row r="155" spans="4:4">
      <c r="D155" s="217"/>
    </row>
    <row r="156" spans="4:4">
      <c r="D156" s="217"/>
    </row>
    <row r="157" spans="4:4">
      <c r="D157" s="217"/>
    </row>
    <row r="158" spans="4:4">
      <c r="D158" s="217"/>
    </row>
    <row r="159" spans="4:4">
      <c r="D159" s="217"/>
    </row>
    <row r="160" spans="4:4">
      <c r="D160" s="217"/>
    </row>
    <row r="161" spans="4:4">
      <c r="D161" s="217"/>
    </row>
    <row r="162" spans="4:4">
      <c r="D162" s="217"/>
    </row>
    <row r="163" spans="4:4">
      <c r="D163" s="217"/>
    </row>
    <row r="164" spans="4:4">
      <c r="D164" s="217"/>
    </row>
    <row r="165" spans="4:4">
      <c r="D165" s="217"/>
    </row>
    <row r="166" spans="4:4">
      <c r="D166" s="217"/>
    </row>
    <row r="167" spans="4:4">
      <c r="D167" s="217"/>
    </row>
  </sheetData>
  <sheetProtection selectLockedCells="1" selectUnlockedCells="1"/>
  <printOptions gridLines="1"/>
  <pageMargins left="1" right="0" top="0.95" bottom="0.75" header="0.51180555555555596" footer="0.3"/>
  <pageSetup paperSize="9" firstPageNumber="0" fitToHeight="0" orientation="portrait" horizontalDpi="300" verticalDpi="300" r:id="rId1"/>
  <headerFooter alignWithMargins="0">
    <oddFooter>&amp;R&amp;8&amp;P/&amp;N</oddFooter>
  </headerFooter>
  <rowBreaks count="1" manualBreakCount="1">
    <brk id="1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rekapitular</vt:lpstr>
      <vt:lpstr>А-шпедиции</vt:lpstr>
      <vt:lpstr>Т-шпедиции</vt:lpstr>
      <vt:lpstr>Е-шпедиции</vt:lpstr>
      <vt:lpstr>ВК-надворешни инст-шпедиции</vt:lpstr>
      <vt:lpstr>ВК-внатрешни инст-шпедиции</vt:lpstr>
      <vt:lpstr>'А-шпедиции'!Print_Area</vt:lpstr>
      <vt:lpstr>'ВК-внатрешни инст-шпедиции'!Print_Area</vt:lpstr>
      <vt:lpstr>'ВК-надворешни инст-шпедиции'!Print_Area</vt:lpstr>
      <vt:lpstr>'Е-шпедиции'!Print_Area</vt:lpstr>
      <vt:lpstr>'Т-шпедиции'!Print_Area</vt:lpstr>
      <vt:lpstr>'ВК-надворешни инст-шпедиции'!Print_Titles</vt:lpstr>
      <vt:lpstr>'Е-шпедиции'!Print_Titles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W9</dc:creator>
  <cp:lastModifiedBy>Maja Lazarevska</cp:lastModifiedBy>
  <dcterms:created xsi:type="dcterms:W3CDTF">2023-05-11T13:53:05Z</dcterms:created>
  <dcterms:modified xsi:type="dcterms:W3CDTF">2023-12-15T09:52:05Z</dcterms:modified>
</cp:coreProperties>
</file>